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10" windowHeight="95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'Лист1'!$A$1:$AX$359</definedName>
  </definedNames>
  <calcPr fullCalcOnLoad="1"/>
</workbook>
</file>

<file path=xl/sharedStrings.xml><?xml version="1.0" encoding="utf-8"?>
<sst xmlns="http://schemas.openxmlformats.org/spreadsheetml/2006/main" count="426" uniqueCount="210">
  <si>
    <t xml:space="preserve">Бюджет </t>
  </si>
  <si>
    <t xml:space="preserve">ЮЖНОГО ФЕДЕРАЛЬНОГО УНИВЕРСИТЕТА </t>
  </si>
  <si>
    <t>на 2009 год</t>
  </si>
  <si>
    <t>Статья 3. Получатели бюджетных средств и средств от приносящей доход деятельности</t>
  </si>
  <si>
    <t>Получатели (по Уставу ЮФУ-структурные подразделения)</t>
  </si>
  <si>
    <t>Ростовский (областной) центр новых информационных технологий ЮФУ</t>
  </si>
  <si>
    <t>Учебно- методический центр по юридическому образованию ЮФУ</t>
  </si>
  <si>
    <t>Направление деятельности</t>
  </si>
  <si>
    <t xml:space="preserve"> ФЦП "Кадры"</t>
  </si>
  <si>
    <t>Образовательная деятельность</t>
  </si>
  <si>
    <t xml:space="preserve">  в т.ч.Филиалы</t>
  </si>
  <si>
    <t>Научно-исследовательская деятельность</t>
  </si>
  <si>
    <t>Итого:</t>
  </si>
  <si>
    <t>Федеральный бюджет</t>
  </si>
  <si>
    <t>Источники финансирования</t>
  </si>
  <si>
    <t>Ср-ва от приносящей доход деятельности</t>
  </si>
  <si>
    <t>Прочая предпринимательская деятельность</t>
  </si>
  <si>
    <t>Сдача в аренду имущества, земли</t>
  </si>
  <si>
    <t xml:space="preserve">I. ДОХОДЫ </t>
  </si>
  <si>
    <t>Статья 2. Доходы  бюджета</t>
  </si>
  <si>
    <t>Наименование</t>
  </si>
  <si>
    <t>ЮФУц.</t>
  </si>
  <si>
    <t>ТТИ</t>
  </si>
  <si>
    <t>ПИ</t>
  </si>
  <si>
    <t>ИАрхИ</t>
  </si>
  <si>
    <t xml:space="preserve">Расчетное количество студентов, аспирантов и докторантов обучающихся по договорам </t>
  </si>
  <si>
    <t>студенты</t>
  </si>
  <si>
    <t>очн.</t>
  </si>
  <si>
    <t>заочн.</t>
  </si>
  <si>
    <t>очно/ заочн.</t>
  </si>
  <si>
    <t>аспиранты очн.</t>
  </si>
  <si>
    <t>аспиранты заочн.</t>
  </si>
  <si>
    <t>Итого</t>
  </si>
  <si>
    <t>%</t>
  </si>
  <si>
    <t>доходы от платной образовательной деятельности</t>
  </si>
  <si>
    <t>бюджетное финансирование</t>
  </si>
  <si>
    <t>01 10</t>
  </si>
  <si>
    <t>07 08</t>
  </si>
  <si>
    <t>приносящая доход деятельность</t>
  </si>
  <si>
    <t>прочая приносящая доход деятельность</t>
  </si>
  <si>
    <t>Аренда имущества, находящегося в федеральной собственности</t>
  </si>
  <si>
    <t>Аренда земли</t>
  </si>
  <si>
    <t>Утвердить принципы и способы управления финансовой системой университета:</t>
  </si>
  <si>
    <t xml:space="preserve"> Утвердить получателей бюджетных средств и средств от приносящей доход деятельности:</t>
  </si>
  <si>
    <t xml:space="preserve">II. РАСХОДЫ 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</si>
  <si>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</si>
  <si>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</si>
  <si>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</si>
  <si>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</si>
  <si>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</si>
  <si>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</si>
  <si>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</si>
  <si>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 xml:space="preserve">Работы, услуги по содержанию имущества </t>
  </si>
  <si>
    <t>Прочие работы, услуги</t>
  </si>
  <si>
    <t>Пособия по социальной помощи населению</t>
  </si>
  <si>
    <t>Увеличение стоимости основных средств</t>
  </si>
  <si>
    <t>Увеличение стоимости материальных запасов</t>
  </si>
  <si>
    <t>Итого расходов</t>
  </si>
  <si>
    <t>ЮФУц</t>
  </si>
  <si>
    <t>Аренда имущества</t>
  </si>
  <si>
    <t>07 06</t>
  </si>
  <si>
    <t>КОСГУ</t>
  </si>
  <si>
    <t>Увеличение стоимости нематериальных активов</t>
  </si>
  <si>
    <t>ЮФУц. Всего</t>
  </si>
  <si>
    <t>ПИ  Всего</t>
  </si>
  <si>
    <t>ИАрхИ Всего</t>
  </si>
  <si>
    <t>удельный вес оплаты труда к общему объему доходов подразделения</t>
  </si>
  <si>
    <t>в т.ч. ЮФУц.без стр. подразделений</t>
  </si>
  <si>
    <t>в т.ч. ПИ без стр. подразделений</t>
  </si>
  <si>
    <t>в т.ч. ИАрхИ без стр. подразделений</t>
  </si>
  <si>
    <t>удельный вес коммунальных услуг к общему объему доходов подразделения</t>
  </si>
  <si>
    <t>удельный вес затрат на кап.и тек. ремонт к общему объему доходов подразделения</t>
  </si>
  <si>
    <t>Анализ финансово-хозяйственной деятельности для расчета бюджета на 2009 год</t>
  </si>
  <si>
    <t>Коэффициент устойчивости</t>
  </si>
  <si>
    <t>Итого доходы</t>
  </si>
  <si>
    <t>Всего внебюджет</t>
  </si>
  <si>
    <t>Всего бюджет</t>
  </si>
  <si>
    <t>2009 год  (по плану)</t>
  </si>
  <si>
    <t>Численность (шт.ед.)</t>
  </si>
  <si>
    <t>бюджет</t>
  </si>
  <si>
    <t>внебюджет</t>
  </si>
  <si>
    <t>всего:</t>
  </si>
  <si>
    <t>Общая площадь (м2)</t>
  </si>
  <si>
    <t>ЮФУц.+стр.подразд.</t>
  </si>
  <si>
    <t>ТТИ + стр.подраздел.</t>
  </si>
  <si>
    <t>ПИ + стр.подраздел.</t>
  </si>
  <si>
    <t>ИАрхИ + стр.подраздел.</t>
  </si>
  <si>
    <t>наименование подразделений</t>
  </si>
  <si>
    <t>2007 год  (по факту)</t>
  </si>
  <si>
    <t>Всего:</t>
  </si>
  <si>
    <t>Прочая приносящая доход деятельность</t>
  </si>
  <si>
    <t>Вид деятельности</t>
  </si>
  <si>
    <t>Коммунальные услуги (07 06)</t>
  </si>
  <si>
    <t>Коммунальные услуги (Аренда)</t>
  </si>
  <si>
    <t>Коммунальные услуги (приносящая доход деятельность)</t>
  </si>
  <si>
    <t>Доходы</t>
  </si>
  <si>
    <t xml:space="preserve"> ФЦПРО и др.программы и проекты</t>
  </si>
  <si>
    <t xml:space="preserve"> * Программа развития на 2009 год  находится на утверждении в ФАО.</t>
  </si>
  <si>
    <t>в т.ч приносящая доход деятельность</t>
  </si>
  <si>
    <t xml:space="preserve"> - ТТИ Южного федерального университета</t>
  </si>
  <si>
    <t xml:space="preserve"> - Педагогический институт ЮФУ</t>
  </si>
  <si>
    <t xml:space="preserve"> - Институт архитектуры и искуств ЮФУ</t>
  </si>
  <si>
    <t xml:space="preserve"> - Волгодонский филиал ЮФУ</t>
  </si>
  <si>
    <t xml:space="preserve"> - Филиал ЮФУ в г.Махачкала</t>
  </si>
  <si>
    <t xml:space="preserve"> - Филиал ЮФУ в с.Учкекен Карачаево-Черкесской Републики</t>
  </si>
  <si>
    <t xml:space="preserve"> - Новошахтинский филиал Южного федерального университета</t>
  </si>
  <si>
    <t xml:space="preserve"> - Филиал ЮФУ в г. Кизляре Републики Дагестан</t>
  </si>
  <si>
    <t xml:space="preserve"> - Каменск-Шахтинский филиал ЮФУ</t>
  </si>
  <si>
    <t xml:space="preserve"> - Зимовниковский филиал ЮФУ</t>
  </si>
  <si>
    <t xml:space="preserve"> - Вешенский филиал ЮФУ</t>
  </si>
  <si>
    <t xml:space="preserve"> - Шахтинский филиал ЮФУ</t>
  </si>
  <si>
    <t xml:space="preserve"> - Константиновский филиал ЮФУ</t>
  </si>
  <si>
    <t xml:space="preserve"> - Зерноградский филиал ЮФУ</t>
  </si>
  <si>
    <t xml:space="preserve"> - Филиал ЮФУ №2 в г.Туапсе</t>
  </si>
  <si>
    <t xml:space="preserve"> - Филиал ЮФУ в г.Георгиевске</t>
  </si>
  <si>
    <t xml:space="preserve"> - Филиал ЮФУ в г.Геленджике</t>
  </si>
  <si>
    <t xml:space="preserve"> - Филиал ЮФУ в г.Ейске</t>
  </si>
  <si>
    <t xml:space="preserve"> - Филиал ЮФУ в г.Элисте</t>
  </si>
  <si>
    <t xml:space="preserve"> - Филиал ЮФУ в г.Пятигорске</t>
  </si>
  <si>
    <t xml:space="preserve"> - Филиал ЮФУ в г.Черкесске</t>
  </si>
  <si>
    <t xml:space="preserve"> - Филиал ЮФУ в г.Железноводске Ставропольского края</t>
  </si>
  <si>
    <t xml:space="preserve"> - НИИ физической и органической химии ЮФУ</t>
  </si>
  <si>
    <t xml:space="preserve"> - НИИ механики и прикладной математики ЮФУ</t>
  </si>
  <si>
    <t xml:space="preserve"> - НИИ физики ЮФУ</t>
  </si>
  <si>
    <t xml:space="preserve"> - НИИ нейрокибернетики им.А.Б.Когана ЮФУ</t>
  </si>
  <si>
    <t xml:space="preserve"> - НИИ биологии ЮФУ</t>
  </si>
  <si>
    <t xml:space="preserve"> - Северо-Кавказский НИИ экономических и социальных проблем ЮФУ</t>
  </si>
  <si>
    <t xml:space="preserve"> - НИИ геохимии биосферы ЮФУ</t>
  </si>
  <si>
    <t xml:space="preserve"> - УНИИ валеологии ЮФУ</t>
  </si>
  <si>
    <t xml:space="preserve"> - НИИ многопроцессорных вычислительных систем ЮФУ</t>
  </si>
  <si>
    <t xml:space="preserve"> - НКТБ "Пьезоприбор" ЮФУ </t>
  </si>
  <si>
    <t xml:space="preserve"> - НКБ моделирующих и управляющих систем ЮФУ</t>
  </si>
  <si>
    <t xml:space="preserve"> - ОКБ "РИТМ" ЮФУ</t>
  </si>
  <si>
    <t xml:space="preserve"> - Опытно-производственная база ЮФУ</t>
  </si>
  <si>
    <t xml:space="preserve"> - НТЦ "Техноцентр" ЮФУ</t>
  </si>
  <si>
    <t xml:space="preserve"> - НОЦ системных технологий проектирования ЮФУ</t>
  </si>
  <si>
    <t xml:space="preserve"> - НКБ цифровой обработки сигналов ЮФУ</t>
  </si>
  <si>
    <t xml:space="preserve"> - Южно-Российский региональный центр информатизации ЮФУ</t>
  </si>
  <si>
    <t xml:space="preserve"> - НТЦ "Интех" ЮФУ</t>
  </si>
  <si>
    <t xml:space="preserve"> - Северо-Кавказский научный центр высшей школы ЮФУ НИИ экономических и социальных проблем ЮФУ</t>
  </si>
  <si>
    <t xml:space="preserve"> - Институт по переподготовке и повышению квалификации ЮФУ</t>
  </si>
  <si>
    <t xml:space="preserve"> - Институт психологии ЮФУ</t>
  </si>
  <si>
    <t xml:space="preserve"> - Институт права и управления ЮФУ</t>
  </si>
  <si>
    <t xml:space="preserve"> - ИЭ и ВЭС Южного федерального университета </t>
  </si>
  <si>
    <t xml:space="preserve"> - Институт международной журналистики и филологии ЮФУ</t>
  </si>
  <si>
    <t xml:space="preserve"> - Межотраслевой региональный центр повышения квалификации и переподготовки кадров ЮФУ</t>
  </si>
  <si>
    <t xml:space="preserve"> - Южно-Российский региональный учебно-научный центр по проблемам информационной безопасности  ЮФУ</t>
  </si>
  <si>
    <t xml:space="preserve"> - Ботанический сад ЮФУ</t>
  </si>
  <si>
    <t xml:space="preserve"> - Студенческий спортивно-оздоровительный лагерь "Таймази"ЮФУ</t>
  </si>
  <si>
    <t xml:space="preserve"> - Студенческий спортивно-оздоровительный лагерь "Витязь"ЮФУ</t>
  </si>
  <si>
    <t xml:space="preserve"> - Спортивно-оздоровительный лагерь "Лиманчик"ЮФУ</t>
  </si>
  <si>
    <t xml:space="preserve"> - Комбинат питания "Студенческий" ЮФУ</t>
  </si>
  <si>
    <t xml:space="preserve"> - База практики и учебного туризма "Белая речка" ЮФУ</t>
  </si>
  <si>
    <t xml:space="preserve"> - Подготовительные курсы ЮФУ</t>
  </si>
  <si>
    <t xml:space="preserve"> - Детский сад №18 "Кораблик"ЮФУ</t>
  </si>
  <si>
    <t xml:space="preserve"> - Студенческий городок ЮФУ</t>
  </si>
  <si>
    <t>Статья 4. Образовательная деятельность</t>
  </si>
  <si>
    <t xml:space="preserve">Доходы от образовательной деятельности запланированы исходя из численности студентов и аспирантов, обучающихся на договорной основе и стоимости обучения </t>
  </si>
  <si>
    <t>Статья 5. Научно-исследовательская деятельность</t>
  </si>
  <si>
    <t>Статья 6. Аренда имущества, земли и прочая приносящая доход деятельность</t>
  </si>
  <si>
    <t>Расходы по источникам текущего финансирования в разрезе подразделений</t>
  </si>
  <si>
    <t>в т.ч. По приносящей доход деятельности</t>
  </si>
  <si>
    <t>Статья 8. Оплата труда</t>
  </si>
  <si>
    <t>Планируемый объем коммунальных услуг на 2009 год с учетом повышения тарифов с 01.01.2009 год составляет - 135 900 000 руб.</t>
  </si>
  <si>
    <t>Статья 11. Капитальный и текущий ремонт</t>
  </si>
  <si>
    <t>Статья 12. Прочие расходы, обеспечивающие хозяйственную деятельность университета</t>
  </si>
  <si>
    <t>УНИК "Таганрог"</t>
  </si>
  <si>
    <t xml:space="preserve">в т.ч. ТТИ </t>
  </si>
  <si>
    <t>Статья 1. Принципы и способы управления финансово-экономической системой университета</t>
  </si>
  <si>
    <t>3. Выравнивание ресурсной обеспеченности подразделений, осуществляющих образовательную и научную деятельность.</t>
  </si>
  <si>
    <t xml:space="preserve">Бюджет Южного федерального университета на 2009год по доходам </t>
  </si>
  <si>
    <t>1. Единства учетной политики и формирования доходно-расходной базы данных.</t>
  </si>
  <si>
    <t>2. Программно-целевой метод планирования расходов на основе нормативного метода.</t>
  </si>
  <si>
    <t>4. Дифференцированный поход при формировании бюджета.</t>
  </si>
  <si>
    <t>5.Ответственность руководителя за планирование и результаты данных хозяйственной деятельности</t>
  </si>
  <si>
    <t>Программа развития "Образование" (нац.проект)*</t>
  </si>
  <si>
    <r>
      <rPr>
        <b/>
        <sz val="12"/>
        <rFont val="Times New Roman"/>
        <family val="1"/>
      </rPr>
      <t>Распорядитель</t>
    </r>
    <r>
      <rPr>
        <sz val="12"/>
        <rFont val="Times New Roman"/>
        <family val="1"/>
      </rPr>
      <t xml:space="preserve"> - Южный федеральный университет</t>
    </r>
  </si>
  <si>
    <r>
      <rPr>
        <b/>
        <sz val="12"/>
        <rFont val="Times New Roman"/>
        <family val="1"/>
      </rPr>
      <t xml:space="preserve">Получатель </t>
    </r>
    <r>
      <rPr>
        <sz val="12"/>
        <rFont val="Times New Roman"/>
        <family val="1"/>
      </rPr>
      <t xml:space="preserve"> - Южный федеральный университет (центр)</t>
    </r>
  </si>
  <si>
    <t>Доходы от научно-исследовательской деятельности университета (руб.):</t>
  </si>
  <si>
    <t>Доходы от сдачи в аренду имущества, земли  и от прочей приносящей доход деятельности (руб.):</t>
  </si>
  <si>
    <t>Статья 7. Расходы бюджета</t>
  </si>
  <si>
    <t>Бюджет Южного федерального университета на 2009год по расходам</t>
  </si>
  <si>
    <t>ВСЕГО расходы</t>
  </si>
  <si>
    <t>Статья 9. Расходы по коммунальным услугам</t>
  </si>
  <si>
    <t>Статья 10. Материальное, социальное обеспечение</t>
  </si>
  <si>
    <t>Статья 13. Расходы общеуниверситетского характера</t>
  </si>
  <si>
    <t>III. БЮДЖЕТ РАЗВИТИЯ ЮФУ</t>
  </si>
  <si>
    <t>увеличение тарифов с 01.01.2009г.</t>
  </si>
  <si>
    <t>ЮФУ ц.</t>
  </si>
  <si>
    <t>Статья 14. Фонд развития ЮФУ</t>
  </si>
  <si>
    <t xml:space="preserve">Фонд развития ЮФУ формируется структурными подразделениями </t>
  </si>
  <si>
    <t xml:space="preserve"> - от прочих услуг от приносящей доход деятельности</t>
  </si>
  <si>
    <t xml:space="preserve"> - от выполнения научно-исследовательских работ</t>
  </si>
  <si>
    <t xml:space="preserve"> - от платной образовательной деятельности</t>
  </si>
  <si>
    <t xml:space="preserve"> 1. Посредством отчислений в размере 3% от приносящей доход деятельности</t>
  </si>
  <si>
    <t xml:space="preserve"> 2. За счет отчислений в размере 1 % от ФОТ  бюджета, выделенного на образование.</t>
  </si>
  <si>
    <t>Приносящая доход деятельность</t>
  </si>
  <si>
    <t xml:space="preserve"> -образовательная деятельность</t>
  </si>
  <si>
    <t>ФОТ бюджета, выделенного на образоывание</t>
  </si>
  <si>
    <t>ВСЕГО</t>
  </si>
  <si>
    <t xml:space="preserve">Статья 15. </t>
  </si>
  <si>
    <t>Установить сроки корректировки смет по приносящей доход деятельности (с учетом внесенных изменений по состоянию на конец квартала)</t>
  </si>
  <si>
    <t xml:space="preserve"> - 24 апреля 2009 года;</t>
  </si>
  <si>
    <t xml:space="preserve"> - 24 июля 2009 года;</t>
  </si>
  <si>
    <t xml:space="preserve"> - 24 октября 2009 года;</t>
  </si>
  <si>
    <t xml:space="preserve"> - 24 января 2009 года;</t>
  </si>
  <si>
    <t>в соответствии с приказом ректора от 19 января 2009 года №39.</t>
  </si>
  <si>
    <t>удельный вес прочих расходов к общему объему доходов подразделения</t>
  </si>
  <si>
    <t>удельный вес материального, соц.обеспечения  к общему объему доходов подразделения</t>
  </si>
  <si>
    <t>Программы, проекты развития и др.средства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</si>
</sst>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i/>
      <sz val="7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7"/>
      <color indexed="8"/>
      <name val="Times New Roman"/>
      <family val="1"/>
    </font>
    <font>
      <sz val="7.5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Calibri"/>
      <family val="2"/>
    </font>
    <font>
      <b/>
      <i/>
      <sz val="7"/>
      <color indexed="8"/>
      <name val="Times New Roman"/>
      <family val="1"/>
    </font>
    <font>
      <b/>
      <sz val="7.5"/>
      <color indexed="8"/>
      <name val="Times New Roman"/>
      <family val="1"/>
    </font>
    <font>
      <b/>
      <i/>
      <sz val="7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i/>
      <sz val="7"/>
      <color theme="1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i/>
      <sz val="7.5"/>
      <color theme="1"/>
      <name val="Times New Roman"/>
      <family val="1"/>
    </font>
    <font>
      <b/>
      <sz val="8"/>
      <color theme="1"/>
      <name val="Calibri"/>
      <family val="2"/>
    </font>
    <font>
      <b/>
      <i/>
      <sz val="7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/>
      <right/>
      <top style="thin"/>
      <bottom style="double"/>
    </border>
    <border>
      <left/>
      <right style="medium">
        <color indexed="63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1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9" fillId="0" borderId="2">
      <alignment/>
      <protection locked="0"/>
    </xf>
    <xf numFmtId="0" fontId="9" fillId="0" borderId="0">
      <alignment/>
      <protection locked="0"/>
    </xf>
    <xf numFmtId="0" fontId="8" fillId="0" borderId="1">
      <alignment/>
      <protection locked="0"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3" fillId="24" borderId="0" applyNumberFormat="0" applyBorder="0" applyAlignment="0" applyProtection="0"/>
    <xf numFmtId="0" fontId="10" fillId="25" borderId="0" applyNumberFormat="0" applyBorder="0" applyAlignment="0" applyProtection="0"/>
    <xf numFmtId="0" fontId="53" fillId="26" borderId="0" applyNumberFormat="0" applyBorder="0" applyAlignment="0" applyProtection="0"/>
    <xf numFmtId="0" fontId="10" fillId="17" borderId="0" applyNumberFormat="0" applyBorder="0" applyAlignment="0" applyProtection="0"/>
    <xf numFmtId="0" fontId="53" fillId="27" borderId="0" applyNumberFormat="0" applyBorder="0" applyAlignment="0" applyProtection="0"/>
    <xf numFmtId="0" fontId="10" fillId="19" borderId="0" applyNumberFormat="0" applyBorder="0" applyAlignment="0" applyProtection="0"/>
    <xf numFmtId="0" fontId="53" fillId="28" borderId="0" applyNumberFormat="0" applyBorder="0" applyAlignment="0" applyProtection="0"/>
    <xf numFmtId="0" fontId="10" fillId="29" borderId="0" applyNumberFormat="0" applyBorder="0" applyAlignment="0" applyProtection="0"/>
    <xf numFmtId="0" fontId="53" fillId="30" borderId="0" applyNumberFormat="0" applyBorder="0" applyAlignment="0" applyProtection="0"/>
    <xf numFmtId="0" fontId="10" fillId="31" borderId="0" applyNumberFormat="0" applyBorder="0" applyAlignment="0" applyProtection="0"/>
    <xf numFmtId="0" fontId="53" fillId="32" borderId="0" applyNumberFormat="0" applyBorder="0" applyAlignment="0" applyProtection="0"/>
    <xf numFmtId="0" fontId="10" fillId="33" borderId="0" applyNumberFormat="0" applyBorder="0" applyAlignment="0" applyProtection="0"/>
    <xf numFmtId="0" fontId="53" fillId="34" borderId="0" applyNumberFormat="0" applyBorder="0" applyAlignment="0" applyProtection="0"/>
    <xf numFmtId="0" fontId="10" fillId="35" borderId="0" applyNumberFormat="0" applyBorder="0" applyAlignment="0" applyProtection="0"/>
    <xf numFmtId="0" fontId="53" fillId="36" borderId="0" applyNumberFormat="0" applyBorder="0" applyAlignment="0" applyProtection="0"/>
    <xf numFmtId="0" fontId="10" fillId="37" borderId="0" applyNumberFormat="0" applyBorder="0" applyAlignment="0" applyProtection="0"/>
    <xf numFmtId="0" fontId="53" fillId="38" borderId="0" applyNumberFormat="0" applyBorder="0" applyAlignment="0" applyProtection="0"/>
    <xf numFmtId="0" fontId="10" fillId="39" borderId="0" applyNumberFormat="0" applyBorder="0" applyAlignment="0" applyProtection="0"/>
    <xf numFmtId="0" fontId="53" fillId="40" borderId="0" applyNumberFormat="0" applyBorder="0" applyAlignment="0" applyProtection="0"/>
    <xf numFmtId="0" fontId="10" fillId="29" borderId="0" applyNumberFormat="0" applyBorder="0" applyAlignment="0" applyProtection="0"/>
    <xf numFmtId="0" fontId="53" fillId="41" borderId="0" applyNumberFormat="0" applyBorder="0" applyAlignment="0" applyProtection="0"/>
    <xf numFmtId="0" fontId="10" fillId="31" borderId="0" applyNumberFormat="0" applyBorder="0" applyAlignment="0" applyProtection="0"/>
    <xf numFmtId="0" fontId="53" fillId="42" borderId="0" applyNumberFormat="0" applyBorder="0" applyAlignment="0" applyProtection="0"/>
    <xf numFmtId="0" fontId="10" fillId="43" borderId="0" applyNumberFormat="0" applyBorder="0" applyAlignment="0" applyProtection="0"/>
    <xf numFmtId="0" fontId="54" fillId="44" borderId="3" applyNumberFormat="0" applyAlignment="0" applyProtection="0"/>
    <xf numFmtId="0" fontId="11" fillId="13" borderId="4" applyNumberFormat="0" applyAlignment="0" applyProtection="0"/>
    <xf numFmtId="0" fontId="55" fillId="45" borderId="5" applyNumberFormat="0" applyAlignment="0" applyProtection="0"/>
    <xf numFmtId="0" fontId="12" fillId="46" borderId="6" applyNumberFormat="0" applyAlignment="0" applyProtection="0"/>
    <xf numFmtId="0" fontId="56" fillId="45" borderId="3" applyNumberFormat="0" applyAlignment="0" applyProtection="0"/>
    <xf numFmtId="0" fontId="13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14" fillId="0" borderId="8" applyNumberFormat="0" applyFill="0" applyAlignment="0" applyProtection="0"/>
    <xf numFmtId="0" fontId="58" fillId="0" borderId="9" applyNumberFormat="0" applyFill="0" applyAlignment="0" applyProtection="0"/>
    <xf numFmtId="0" fontId="15" fillId="0" borderId="10" applyNumberFormat="0" applyFill="0" applyAlignment="0" applyProtection="0"/>
    <xf numFmtId="0" fontId="59" fillId="0" borderId="11" applyNumberFormat="0" applyFill="0" applyAlignment="0" applyProtection="0"/>
    <xf numFmtId="0" fontId="16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13" applyNumberFormat="0" applyFill="0" applyAlignment="0" applyProtection="0"/>
    <xf numFmtId="0" fontId="17" fillId="0" borderId="14" applyNumberFormat="0" applyFill="0" applyAlignment="0" applyProtection="0"/>
    <xf numFmtId="0" fontId="61" fillId="47" borderId="15" applyNumberFormat="0" applyAlignment="0" applyProtection="0"/>
    <xf numFmtId="0" fontId="18" fillId="48" borderId="16" applyNumberFormat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49" borderId="0" applyNumberFormat="0" applyBorder="0" applyAlignment="0" applyProtection="0"/>
    <xf numFmtId="0" fontId="20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51" borderId="0" applyNumberFormat="0" applyBorder="0" applyAlignment="0" applyProtection="0"/>
    <xf numFmtId="0" fontId="21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9" fontId="0" fillId="0" borderId="0" applyFont="0" applyFill="0" applyBorder="0" applyAlignment="0" applyProtection="0"/>
    <xf numFmtId="0" fontId="66" fillId="0" borderId="19" applyNumberFormat="0" applyFill="0" applyAlignment="0" applyProtection="0"/>
    <xf numFmtId="0" fontId="23" fillId="0" borderId="20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54" borderId="0" applyNumberFormat="0" applyBorder="0" applyAlignment="0" applyProtection="0"/>
    <xf numFmtId="0" fontId="25" fillId="7" borderId="0" applyNumberFormat="0" applyBorder="0" applyAlignment="0" applyProtection="0"/>
    <xf numFmtId="0" fontId="8" fillId="0" borderId="0">
      <alignment/>
      <protection locked="0"/>
    </xf>
  </cellStyleXfs>
  <cellXfs count="293">
    <xf numFmtId="0" fontId="0" fillId="0" borderId="0" xfId="0" applyFont="1" applyAlignment="1">
      <alignment/>
    </xf>
    <xf numFmtId="0" fontId="6" fillId="0" borderId="0" xfId="99" applyFont="1">
      <alignment/>
      <protection/>
    </xf>
    <xf numFmtId="0" fontId="7" fillId="0" borderId="0" xfId="99" applyFont="1">
      <alignment/>
      <protection/>
    </xf>
    <xf numFmtId="0" fontId="3" fillId="0" borderId="0" xfId="100" applyFont="1">
      <alignment/>
      <protection/>
    </xf>
    <xf numFmtId="0" fontId="5" fillId="0" borderId="0" xfId="100" applyFont="1">
      <alignment/>
      <protection/>
    </xf>
    <xf numFmtId="0" fontId="3" fillId="0" borderId="0" xfId="101" applyFont="1">
      <alignment/>
      <protection/>
    </xf>
    <xf numFmtId="0" fontId="3" fillId="0" borderId="0" xfId="101" applyFont="1" applyAlignment="1">
      <alignment horizontal="left"/>
      <protection/>
    </xf>
    <xf numFmtId="0" fontId="3" fillId="0" borderId="0" xfId="101" applyFont="1" applyAlignment="1">
      <alignment horizontal="center"/>
      <protection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vertic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3" fillId="0" borderId="0" xfId="105" applyFont="1">
      <alignment/>
      <protection/>
    </xf>
    <xf numFmtId="0" fontId="3" fillId="0" borderId="0" xfId="96" applyFont="1" applyAlignment="1">
      <alignment horizontal="left"/>
      <protection/>
    </xf>
    <xf numFmtId="0" fontId="4" fillId="0" borderId="0" xfId="96" applyFont="1" applyAlignment="1">
      <alignment horizontal="left"/>
      <protection/>
    </xf>
    <xf numFmtId="0" fontId="7" fillId="0" borderId="0" xfId="97" applyFont="1" applyBorder="1">
      <alignment/>
      <protection/>
    </xf>
    <xf numFmtId="0" fontId="71" fillId="0" borderId="0" xfId="0" applyFont="1" applyAlignment="1">
      <alignment vertical="center" wrapText="1"/>
    </xf>
    <xf numFmtId="3" fontId="71" fillId="0" borderId="0" xfId="0" applyNumberFormat="1" applyFont="1" applyAlignment="1">
      <alignment/>
    </xf>
    <xf numFmtId="3" fontId="72" fillId="0" borderId="0" xfId="0" applyNumberFormat="1" applyFont="1" applyAlignment="1">
      <alignment vertical="center" wrapText="1"/>
    </xf>
    <xf numFmtId="0" fontId="74" fillId="0" borderId="0" xfId="0" applyFont="1" applyAlignment="1">
      <alignment/>
    </xf>
    <xf numFmtId="0" fontId="74" fillId="0" borderId="0" xfId="0" applyFont="1" applyAlignment="1">
      <alignment vertical="center" wrapText="1"/>
    </xf>
    <xf numFmtId="0" fontId="4" fillId="0" borderId="0" xfId="98" applyFont="1">
      <alignment/>
      <protection/>
    </xf>
    <xf numFmtId="0" fontId="7" fillId="0" borderId="0" xfId="98" applyFont="1">
      <alignment/>
      <protection/>
    </xf>
    <xf numFmtId="0" fontId="75" fillId="0" borderId="0" xfId="0" applyFont="1" applyAlignment="1">
      <alignment/>
    </xf>
    <xf numFmtId="0" fontId="72" fillId="0" borderId="0" xfId="0" applyFont="1" applyBorder="1" applyAlignment="1">
      <alignment horizontal="left"/>
    </xf>
    <xf numFmtId="3" fontId="72" fillId="0" borderId="0" xfId="0" applyNumberFormat="1" applyFont="1" applyBorder="1" applyAlignment="1">
      <alignment horizontal="right"/>
    </xf>
    <xf numFmtId="0" fontId="7" fillId="0" borderId="0" xfId="99" applyFont="1" applyAlignment="1">
      <alignment horizontal="left" wrapText="1"/>
      <protection/>
    </xf>
    <xf numFmtId="0" fontId="71" fillId="0" borderId="0" xfId="0" applyFont="1" applyAlignment="1">
      <alignment/>
    </xf>
    <xf numFmtId="3" fontId="71" fillId="0" borderId="0" xfId="0" applyNumberFormat="1" applyFont="1" applyAlignment="1">
      <alignment/>
    </xf>
    <xf numFmtId="3" fontId="69" fillId="0" borderId="0" xfId="0" applyNumberFormat="1" applyFont="1" applyAlignment="1">
      <alignment/>
    </xf>
    <xf numFmtId="3" fontId="71" fillId="0" borderId="21" xfId="0" applyNumberFormat="1" applyFont="1" applyBorder="1" applyAlignment="1">
      <alignment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1" fillId="0" borderId="0" xfId="0" applyFont="1" applyAlignment="1">
      <alignment wrapText="1"/>
    </xf>
    <xf numFmtId="0" fontId="76" fillId="0" borderId="0" xfId="0" applyFont="1" applyAlignment="1">
      <alignment vertical="center" wrapText="1"/>
    </xf>
    <xf numFmtId="0" fontId="72" fillId="0" borderId="0" xfId="0" applyFont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6" fillId="0" borderId="22" xfId="0" applyFont="1" applyBorder="1" applyAlignment="1">
      <alignment vertical="center"/>
    </xf>
    <xf numFmtId="0" fontId="74" fillId="0" borderId="0" xfId="0" applyFont="1" applyAlignment="1">
      <alignment/>
    </xf>
    <xf numFmtId="0" fontId="74" fillId="0" borderId="0" xfId="0" applyFont="1" applyAlignment="1">
      <alignment horizontal="left"/>
    </xf>
    <xf numFmtId="0" fontId="27" fillId="0" borderId="0" xfId="101" applyFont="1" applyAlignment="1">
      <alignment wrapText="1"/>
      <protection/>
    </xf>
    <xf numFmtId="0" fontId="27" fillId="0" borderId="0" xfId="101" applyFont="1" applyAlignment="1">
      <alignment vertical="top" wrapText="1"/>
      <protection/>
    </xf>
    <xf numFmtId="3" fontId="70" fillId="0" borderId="0" xfId="0" applyNumberFormat="1" applyFont="1" applyAlignment="1">
      <alignment/>
    </xf>
    <xf numFmtId="0" fontId="27" fillId="0" borderId="0" xfId="101" applyNumberFormat="1" applyFont="1" applyAlignment="1">
      <alignment horizontal="left" wrapText="1"/>
      <protection/>
    </xf>
    <xf numFmtId="3" fontId="70" fillId="0" borderId="0" xfId="0" applyNumberFormat="1" applyFont="1" applyFill="1" applyAlignment="1">
      <alignment/>
    </xf>
    <xf numFmtId="0" fontId="7" fillId="0" borderId="0" xfId="98" applyFont="1" applyAlignment="1">
      <alignment horizontal="left"/>
      <protection/>
    </xf>
    <xf numFmtId="3" fontId="76" fillId="0" borderId="0" xfId="0" applyNumberFormat="1" applyFont="1" applyBorder="1" applyAlignment="1">
      <alignment horizontal="center" vertical="center"/>
    </xf>
    <xf numFmtId="0" fontId="72" fillId="0" borderId="0" xfId="0" applyFont="1" applyAlignment="1">
      <alignment horizontal="center"/>
    </xf>
    <xf numFmtId="3" fontId="78" fillId="0" borderId="0" xfId="0" applyNumberFormat="1" applyFont="1" applyFill="1" applyAlignment="1">
      <alignment/>
    </xf>
    <xf numFmtId="0" fontId="7" fillId="0" borderId="0" xfId="98" applyFont="1" applyAlignment="1">
      <alignment horizontal="left" vertical="center"/>
      <protection/>
    </xf>
    <xf numFmtId="0" fontId="76" fillId="0" borderId="23" xfId="0" applyFont="1" applyBorder="1" applyAlignment="1">
      <alignment vertical="center"/>
    </xf>
    <xf numFmtId="0" fontId="76" fillId="0" borderId="24" xfId="0" applyFont="1" applyBorder="1" applyAlignment="1">
      <alignment vertical="center"/>
    </xf>
    <xf numFmtId="0" fontId="76" fillId="0" borderId="25" xfId="0" applyFont="1" applyBorder="1" applyAlignment="1">
      <alignment vertical="center"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/>
    </xf>
    <xf numFmtId="0" fontId="79" fillId="0" borderId="0" xfId="0" applyFont="1" applyAlignment="1">
      <alignment/>
    </xf>
    <xf numFmtId="0" fontId="71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left"/>
    </xf>
    <xf numFmtId="3" fontId="69" fillId="0" borderId="0" xfId="0" applyNumberFormat="1" applyFont="1" applyBorder="1" applyAlignment="1">
      <alignment horizontal="right"/>
    </xf>
    <xf numFmtId="0" fontId="4" fillId="0" borderId="0" xfId="106" applyFont="1">
      <alignment/>
      <protection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4" fillId="0" borderId="0" xfId="99" applyFont="1">
      <alignment/>
      <protection/>
    </xf>
    <xf numFmtId="0" fontId="78" fillId="0" borderId="0" xfId="0" applyFont="1" applyAlignment="1">
      <alignment/>
    </xf>
    <xf numFmtId="0" fontId="78" fillId="0" borderId="0" xfId="0" applyFont="1" applyAlignment="1">
      <alignment vertical="center"/>
    </xf>
    <xf numFmtId="3" fontId="72" fillId="0" borderId="0" xfId="0" applyNumberFormat="1" applyFont="1" applyAlignment="1">
      <alignment vertical="center"/>
    </xf>
    <xf numFmtId="0" fontId="82" fillId="0" borderId="0" xfId="0" applyFont="1" applyBorder="1" applyAlignment="1">
      <alignment horizontal="left"/>
    </xf>
    <xf numFmtId="3" fontId="82" fillId="0" borderId="0" xfId="0" applyNumberFormat="1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3" fontId="83" fillId="0" borderId="0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horizontal="left" vertical="center" wrapText="1"/>
    </xf>
    <xf numFmtId="10" fontId="77" fillId="0" borderId="0" xfId="0" applyNumberFormat="1" applyFont="1" applyBorder="1" applyAlignment="1">
      <alignment horizontal="center" vertical="center" wrapText="1"/>
    </xf>
    <xf numFmtId="10" fontId="8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/>
    </xf>
    <xf numFmtId="3" fontId="74" fillId="0" borderId="0" xfId="0" applyNumberFormat="1" applyFont="1" applyBorder="1" applyAlignment="1">
      <alignment/>
    </xf>
    <xf numFmtId="0" fontId="74" fillId="0" borderId="0" xfId="0" applyFont="1" applyBorder="1" applyAlignment="1">
      <alignment wrapText="1"/>
    </xf>
    <xf numFmtId="0" fontId="82" fillId="0" borderId="0" xfId="0" applyFont="1" applyAlignment="1">
      <alignment/>
    </xf>
    <xf numFmtId="3" fontId="82" fillId="0" borderId="0" xfId="0" applyNumberFormat="1" applyFont="1" applyAlignment="1">
      <alignment/>
    </xf>
    <xf numFmtId="0" fontId="72" fillId="8" borderId="0" xfId="0" applyFont="1" applyFill="1" applyAlignment="1">
      <alignment/>
    </xf>
    <xf numFmtId="0" fontId="82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22" xfId="0" applyNumberFormat="1" applyFont="1" applyBorder="1" applyAlignment="1">
      <alignment horizontal="center" vertical="center" wrapText="1"/>
    </xf>
    <xf numFmtId="3" fontId="86" fillId="0" borderId="22" xfId="0" applyNumberFormat="1" applyFont="1" applyBorder="1" applyAlignment="1">
      <alignment horizontal="center" vertical="center"/>
    </xf>
    <xf numFmtId="3" fontId="87" fillId="0" borderId="22" xfId="0" applyNumberFormat="1" applyFont="1" applyBorder="1" applyAlignment="1">
      <alignment horizontal="center" vertical="center"/>
    </xf>
    <xf numFmtId="0" fontId="4" fillId="0" borderId="0" xfId="98" applyFont="1" applyAlignment="1">
      <alignment horizontal="justify" wrapText="1"/>
      <protection/>
    </xf>
    <xf numFmtId="0" fontId="71" fillId="0" borderId="0" xfId="0" applyFont="1" applyAlignment="1">
      <alignment horizontal="justify" wrapText="1"/>
    </xf>
    <xf numFmtId="0" fontId="77" fillId="8" borderId="23" xfId="0" applyFont="1" applyFill="1" applyBorder="1" applyAlignment="1">
      <alignment horizontal="center" vertical="center"/>
    </xf>
    <xf numFmtId="0" fontId="77" fillId="8" borderId="24" xfId="0" applyFont="1" applyFill="1" applyBorder="1" applyAlignment="1">
      <alignment horizontal="center" vertical="center"/>
    </xf>
    <xf numFmtId="0" fontId="77" fillId="8" borderId="26" xfId="0" applyFont="1" applyFill="1" applyBorder="1" applyAlignment="1">
      <alignment horizontal="center" vertical="center"/>
    </xf>
    <xf numFmtId="0" fontId="83" fillId="8" borderId="22" xfId="0" applyFont="1" applyFill="1" applyBorder="1" applyAlignment="1">
      <alignment horizontal="center" vertical="center" wrapText="1"/>
    </xf>
    <xf numFmtId="9" fontId="83" fillId="8" borderId="22" xfId="0" applyNumberFormat="1" applyFont="1" applyFill="1" applyBorder="1" applyAlignment="1">
      <alignment horizontal="center" vertical="center" wrapText="1"/>
    </xf>
    <xf numFmtId="0" fontId="88" fillId="8" borderId="22" xfId="0" applyFont="1" applyFill="1" applyBorder="1" applyAlignment="1">
      <alignment/>
    </xf>
    <xf numFmtId="0" fontId="77" fillId="0" borderId="22" xfId="0" applyNumberFormat="1" applyFont="1" applyBorder="1" applyAlignment="1">
      <alignment horizontal="center" vertical="center" wrapText="1"/>
    </xf>
    <xf numFmtId="3" fontId="77" fillId="0" borderId="22" xfId="0" applyNumberFormat="1" applyFont="1" applyBorder="1" applyAlignment="1">
      <alignment horizontal="center" vertical="center"/>
    </xf>
    <xf numFmtId="3" fontId="89" fillId="0" borderId="22" xfId="0" applyNumberFormat="1" applyFont="1" applyBorder="1" applyAlignment="1">
      <alignment horizontal="center" vertical="center"/>
    </xf>
    <xf numFmtId="0" fontId="76" fillId="0" borderId="22" xfId="0" applyNumberFormat="1" applyFont="1" applyBorder="1" applyAlignment="1">
      <alignment horizontal="left" wrapText="1"/>
    </xf>
    <xf numFmtId="0" fontId="82" fillId="0" borderId="22" xfId="0" applyFont="1" applyBorder="1" applyAlignment="1">
      <alignment horizontal="center" vertical="center"/>
    </xf>
    <xf numFmtId="0" fontId="82" fillId="0" borderId="22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/>
    </xf>
    <xf numFmtId="3" fontId="74" fillId="0" borderId="22" xfId="0" applyNumberFormat="1" applyFont="1" applyBorder="1" applyAlignment="1">
      <alignment horizontal="center"/>
    </xf>
    <xf numFmtId="3" fontId="74" fillId="0" borderId="22" xfId="0" applyNumberFormat="1" applyFont="1" applyBorder="1" applyAlignment="1">
      <alignment horizontal="center" vertical="center"/>
    </xf>
    <xf numFmtId="3" fontId="74" fillId="0" borderId="22" xfId="0" applyNumberFormat="1" applyFont="1" applyBorder="1" applyAlignment="1">
      <alignment horizontal="center" vertical="center" wrapText="1"/>
    </xf>
    <xf numFmtId="3" fontId="82" fillId="0" borderId="22" xfId="0" applyNumberFormat="1" applyFont="1" applyBorder="1" applyAlignment="1">
      <alignment horizontal="center"/>
    </xf>
    <xf numFmtId="3" fontId="76" fillId="0" borderId="22" xfId="0" applyNumberFormat="1" applyFont="1" applyBorder="1" applyAlignment="1">
      <alignment horizontal="center" vertical="center"/>
    </xf>
    <xf numFmtId="3" fontId="84" fillId="0" borderId="22" xfId="0" applyNumberFormat="1" applyFont="1" applyBorder="1" applyAlignment="1">
      <alignment horizontal="center" vertical="center"/>
    </xf>
    <xf numFmtId="0" fontId="3" fillId="0" borderId="0" xfId="105" applyFont="1" applyAlignment="1">
      <alignment horizontal="left"/>
      <protection/>
    </xf>
    <xf numFmtId="0" fontId="3" fillId="0" borderId="0" xfId="105" applyFont="1" applyAlignment="1">
      <alignment horizontal="justify" vertical="center" wrapText="1"/>
      <protection/>
    </xf>
    <xf numFmtId="3" fontId="78" fillId="0" borderId="0" xfId="0" applyNumberFormat="1" applyFont="1" applyFill="1" applyAlignment="1">
      <alignment horizontal="center"/>
    </xf>
    <xf numFmtId="3" fontId="72" fillId="0" borderId="0" xfId="0" applyNumberFormat="1" applyFont="1" applyAlignment="1">
      <alignment horizontal="center"/>
    </xf>
    <xf numFmtId="0" fontId="72" fillId="0" borderId="0" xfId="0" applyFont="1" applyAlignment="1">
      <alignment horizontal="center"/>
    </xf>
    <xf numFmtId="3" fontId="71" fillId="0" borderId="0" xfId="0" applyNumberFormat="1" applyFont="1" applyAlignment="1">
      <alignment horizontal="center"/>
    </xf>
    <xf numFmtId="0" fontId="71" fillId="0" borderId="0" xfId="0" applyFont="1" applyAlignment="1">
      <alignment horizontal="center"/>
    </xf>
    <xf numFmtId="3" fontId="69" fillId="0" borderId="0" xfId="0" applyNumberFormat="1" applyFont="1" applyAlignment="1">
      <alignment horizontal="center"/>
    </xf>
    <xf numFmtId="0" fontId="69" fillId="0" borderId="0" xfId="0" applyFont="1" applyAlignment="1">
      <alignment horizontal="center"/>
    </xf>
    <xf numFmtId="0" fontId="77" fillId="0" borderId="22" xfId="0" applyFont="1" applyBorder="1" applyAlignment="1">
      <alignment horizontal="center" vertical="center" wrapText="1"/>
    </xf>
    <xf numFmtId="3" fontId="90" fillId="0" borderId="22" xfId="0" applyNumberFormat="1" applyFont="1" applyBorder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3" fontId="83" fillId="0" borderId="22" xfId="0" applyNumberFormat="1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/>
    </xf>
    <xf numFmtId="0" fontId="77" fillId="0" borderId="22" xfId="0" applyFont="1" applyBorder="1" applyAlignment="1">
      <alignment horizontal="left" vertical="center"/>
    </xf>
    <xf numFmtId="3" fontId="76" fillId="0" borderId="22" xfId="0" applyNumberFormat="1" applyFont="1" applyBorder="1" applyAlignment="1">
      <alignment horizontal="right" vertical="center"/>
    </xf>
    <xf numFmtId="3" fontId="77" fillId="0" borderId="22" xfId="0" applyNumberFormat="1" applyFont="1" applyBorder="1" applyAlignment="1">
      <alignment horizontal="right" vertical="center"/>
    </xf>
    <xf numFmtId="2" fontId="76" fillId="0" borderId="22" xfId="0" applyNumberFormat="1" applyFont="1" applyBorder="1" applyAlignment="1">
      <alignment horizontal="center" vertical="center"/>
    </xf>
    <xf numFmtId="2" fontId="77" fillId="0" borderId="22" xfId="0" applyNumberFormat="1" applyFont="1" applyBorder="1" applyAlignment="1">
      <alignment horizontal="center" vertical="center"/>
    </xf>
    <xf numFmtId="3" fontId="76" fillId="0" borderId="27" xfId="0" applyNumberFormat="1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72" fillId="0" borderId="0" xfId="0" applyFont="1" applyAlignment="1">
      <alignment horizontal="center" vertical="center" wrapText="1"/>
    </xf>
    <xf numFmtId="10" fontId="84" fillId="0" borderId="29" xfId="0" applyNumberFormat="1" applyFont="1" applyBorder="1" applyAlignment="1">
      <alignment horizontal="center" vertical="center" wrapText="1"/>
    </xf>
    <xf numFmtId="10" fontId="84" fillId="0" borderId="30" xfId="0" applyNumberFormat="1" applyFont="1" applyBorder="1" applyAlignment="1">
      <alignment horizontal="center" vertical="center" wrapText="1"/>
    </xf>
    <xf numFmtId="3" fontId="77" fillId="0" borderId="31" xfId="0" applyNumberFormat="1" applyFont="1" applyBorder="1" applyAlignment="1">
      <alignment horizontal="center" vertical="center"/>
    </xf>
    <xf numFmtId="3" fontId="77" fillId="0" borderId="32" xfId="0" applyNumberFormat="1" applyFont="1" applyBorder="1" applyAlignment="1">
      <alignment horizontal="center" vertical="center"/>
    </xf>
    <xf numFmtId="0" fontId="76" fillId="0" borderId="33" xfId="0" applyFont="1" applyBorder="1" applyAlignment="1">
      <alignment horizontal="left" vertical="center" wrapText="1"/>
    </xf>
    <xf numFmtId="0" fontId="76" fillId="0" borderId="29" xfId="0" applyFont="1" applyBorder="1" applyAlignment="1">
      <alignment horizontal="left" vertical="center" wrapText="1"/>
    </xf>
    <xf numFmtId="10" fontId="77" fillId="0" borderId="29" xfId="0" applyNumberFormat="1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1" xfId="0" applyFont="1" applyBorder="1" applyAlignment="1">
      <alignment horizontal="left" vertical="center" wrapText="1"/>
    </xf>
    <xf numFmtId="0" fontId="26" fillId="0" borderId="36" xfId="0" applyFont="1" applyBorder="1" applyAlignment="1">
      <alignment horizontal="left" vertical="center" wrapText="1"/>
    </xf>
    <xf numFmtId="3" fontId="77" fillId="0" borderId="37" xfId="0" applyNumberFormat="1" applyFont="1" applyBorder="1" applyAlignment="1">
      <alignment horizontal="center" vertical="center"/>
    </xf>
    <xf numFmtId="3" fontId="84" fillId="0" borderId="27" xfId="0" applyNumberFormat="1" applyFont="1" applyBorder="1" applyAlignment="1">
      <alignment horizontal="center" vertical="center"/>
    </xf>
    <xf numFmtId="0" fontId="77" fillId="0" borderId="38" xfId="0" applyFont="1" applyBorder="1" applyAlignment="1">
      <alignment horizontal="center" vertical="center"/>
    </xf>
    <xf numFmtId="0" fontId="77" fillId="0" borderId="39" xfId="0" applyFont="1" applyBorder="1" applyAlignment="1">
      <alignment horizontal="center" vertical="center"/>
    </xf>
    <xf numFmtId="0" fontId="77" fillId="0" borderId="28" xfId="0" applyFont="1" applyBorder="1" applyAlignment="1">
      <alignment horizontal="center" vertical="center"/>
    </xf>
    <xf numFmtId="0" fontId="77" fillId="0" borderId="40" xfId="0" applyFont="1" applyBorder="1" applyAlignment="1">
      <alignment horizontal="center" vertical="center"/>
    </xf>
    <xf numFmtId="0" fontId="77" fillId="0" borderId="2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left" vertical="center" wrapText="1"/>
    </xf>
    <xf numFmtId="3" fontId="76" fillId="0" borderId="23" xfId="0" applyNumberFormat="1" applyFont="1" applyBorder="1" applyAlignment="1">
      <alignment horizontal="center" vertical="center"/>
    </xf>
    <xf numFmtId="3" fontId="76" fillId="0" borderId="24" xfId="0" applyNumberFormat="1" applyFont="1" applyBorder="1" applyAlignment="1">
      <alignment horizontal="center" vertical="center"/>
    </xf>
    <xf numFmtId="3" fontId="76" fillId="0" borderId="25" xfId="0" applyNumberFormat="1" applyFont="1" applyBorder="1" applyAlignment="1">
      <alignment horizontal="center" vertical="center"/>
    </xf>
    <xf numFmtId="3" fontId="76" fillId="0" borderId="26" xfId="0" applyNumberFormat="1" applyFont="1" applyBorder="1" applyAlignment="1">
      <alignment horizontal="center" vertical="center"/>
    </xf>
    <xf numFmtId="0" fontId="76" fillId="0" borderId="41" xfId="0" applyFont="1" applyBorder="1" applyAlignment="1">
      <alignment horizontal="left" vertical="center" wrapText="1"/>
    </xf>
    <xf numFmtId="0" fontId="76" fillId="0" borderId="42" xfId="0" applyFont="1" applyBorder="1" applyAlignment="1">
      <alignment horizontal="left" vertical="center" wrapText="1"/>
    </xf>
    <xf numFmtId="10" fontId="77" fillId="0" borderId="42" xfId="0" applyNumberFormat="1" applyFont="1" applyBorder="1" applyAlignment="1">
      <alignment horizontal="center" vertical="center" wrapText="1"/>
    </xf>
    <xf numFmtId="10" fontId="84" fillId="0" borderId="42" xfId="0" applyNumberFormat="1" applyFont="1" applyBorder="1" applyAlignment="1">
      <alignment horizontal="center" vertical="center" wrapText="1"/>
    </xf>
    <xf numFmtId="10" fontId="84" fillId="0" borderId="43" xfId="0" applyNumberFormat="1" applyFont="1" applyBorder="1" applyAlignment="1">
      <alignment horizontal="center" vertical="center" wrapText="1"/>
    </xf>
    <xf numFmtId="3" fontId="77" fillId="0" borderId="44" xfId="0" applyNumberFormat="1" applyFont="1" applyBorder="1" applyAlignment="1">
      <alignment horizontal="center" vertical="center"/>
    </xf>
    <xf numFmtId="3" fontId="77" fillId="0" borderId="45" xfId="0" applyNumberFormat="1" applyFont="1" applyBorder="1" applyAlignment="1">
      <alignment horizontal="center" vertical="center"/>
    </xf>
    <xf numFmtId="3" fontId="77" fillId="0" borderId="46" xfId="0" applyNumberFormat="1" applyFont="1" applyBorder="1" applyAlignment="1">
      <alignment horizontal="center" vertical="center"/>
    </xf>
    <xf numFmtId="3" fontId="77" fillId="0" borderId="47" xfId="0" applyNumberFormat="1" applyFont="1" applyBorder="1" applyAlignment="1">
      <alignment horizontal="center" vertical="center"/>
    </xf>
    <xf numFmtId="3" fontId="77" fillId="0" borderId="48" xfId="0" applyNumberFormat="1" applyFont="1" applyBorder="1" applyAlignment="1">
      <alignment horizontal="center" vertical="center"/>
    </xf>
    <xf numFmtId="3" fontId="77" fillId="0" borderId="49" xfId="0" applyNumberFormat="1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3" xfId="0" applyNumberFormat="1" applyFont="1" applyBorder="1" applyAlignment="1">
      <alignment horizontal="left" vertical="center" wrapText="1"/>
    </xf>
    <xf numFmtId="0" fontId="26" fillId="0" borderId="24" xfId="0" applyNumberFormat="1" applyFont="1" applyBorder="1" applyAlignment="1">
      <alignment horizontal="left" vertical="center" wrapText="1"/>
    </xf>
    <xf numFmtId="0" fontId="26" fillId="0" borderId="26" xfId="0" applyNumberFormat="1" applyFont="1" applyBorder="1" applyAlignment="1">
      <alignment horizontal="left" vertical="center" wrapText="1"/>
    </xf>
    <xf numFmtId="3" fontId="77" fillId="0" borderId="23" xfId="0" applyNumberFormat="1" applyFont="1" applyBorder="1" applyAlignment="1">
      <alignment horizontal="center" vertical="center"/>
    </xf>
    <xf numFmtId="3" fontId="77" fillId="0" borderId="24" xfId="0" applyNumberFormat="1" applyFont="1" applyBorder="1" applyAlignment="1">
      <alignment horizontal="center" vertical="center"/>
    </xf>
    <xf numFmtId="3" fontId="77" fillId="0" borderId="26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left" vertical="center" wrapText="1"/>
    </xf>
    <xf numFmtId="0" fontId="26" fillId="0" borderId="50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4" xfId="0" applyFont="1" applyBorder="1" applyAlignment="1">
      <alignment horizontal="left" vertical="center" wrapText="1"/>
    </xf>
    <xf numFmtId="0" fontId="26" fillId="0" borderId="22" xfId="0" applyNumberFormat="1" applyFont="1" applyBorder="1" applyAlignment="1">
      <alignment horizontal="left" vertical="center" wrapText="1"/>
    </xf>
    <xf numFmtId="3" fontId="77" fillId="0" borderId="0" xfId="0" applyNumberFormat="1" applyFont="1" applyBorder="1" applyAlignment="1">
      <alignment horizontal="center" vertical="center"/>
    </xf>
    <xf numFmtId="3" fontId="76" fillId="0" borderId="0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left" vertical="center" wrapText="1"/>
    </xf>
    <xf numFmtId="3" fontId="77" fillId="0" borderId="34" xfId="0" applyNumberFormat="1" applyFont="1" applyBorder="1" applyAlignment="1">
      <alignment horizontal="center" vertical="center"/>
    </xf>
    <xf numFmtId="3" fontId="76" fillId="0" borderId="46" xfId="0" applyNumberFormat="1" applyFont="1" applyBorder="1" applyAlignment="1">
      <alignment horizontal="center" vertical="center"/>
    </xf>
    <xf numFmtId="3" fontId="76" fillId="0" borderId="47" xfId="0" applyNumberFormat="1" applyFont="1" applyBorder="1" applyAlignment="1">
      <alignment horizontal="center" vertical="center"/>
    </xf>
    <xf numFmtId="3" fontId="76" fillId="0" borderId="48" xfId="0" applyNumberFormat="1" applyFont="1" applyBorder="1" applyAlignment="1">
      <alignment horizontal="center" vertical="center"/>
    </xf>
    <xf numFmtId="3" fontId="76" fillId="0" borderId="49" xfId="0" applyNumberFormat="1" applyFont="1" applyBorder="1" applyAlignment="1">
      <alignment horizontal="center" vertical="center"/>
    </xf>
    <xf numFmtId="3" fontId="77" fillId="0" borderId="51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34" xfId="0" applyFont="1" applyBorder="1" applyAlignment="1">
      <alignment horizontal="center"/>
    </xf>
    <xf numFmtId="0" fontId="77" fillId="0" borderId="24" xfId="0" applyFont="1" applyBorder="1" applyAlignment="1">
      <alignment horizontal="center"/>
    </xf>
    <xf numFmtId="0" fontId="77" fillId="0" borderId="26" xfId="0" applyFont="1" applyBorder="1" applyAlignment="1">
      <alignment horizontal="center"/>
    </xf>
    <xf numFmtId="0" fontId="76" fillId="0" borderId="23" xfId="0" applyFont="1" applyBorder="1" applyAlignment="1">
      <alignment horizontal="center" wrapText="1"/>
    </xf>
    <xf numFmtId="0" fontId="76" fillId="0" borderId="24" xfId="0" applyFont="1" applyBorder="1" applyAlignment="1">
      <alignment horizontal="center" wrapText="1"/>
    </xf>
    <xf numFmtId="0" fontId="76" fillId="0" borderId="26" xfId="0" applyFont="1" applyBorder="1" applyAlignment="1">
      <alignment horizontal="center" wrapText="1"/>
    </xf>
    <xf numFmtId="0" fontId="76" fillId="0" borderId="23" xfId="0" applyFont="1" applyBorder="1" applyAlignment="1">
      <alignment horizontal="center"/>
    </xf>
    <xf numFmtId="0" fontId="76" fillId="0" borderId="24" xfId="0" applyFont="1" applyBorder="1" applyAlignment="1">
      <alignment horizontal="center"/>
    </xf>
    <xf numFmtId="0" fontId="76" fillId="0" borderId="26" xfId="0" applyFont="1" applyBorder="1" applyAlignment="1">
      <alignment horizontal="center"/>
    </xf>
    <xf numFmtId="0" fontId="76" fillId="0" borderId="25" xfId="0" applyFont="1" applyBorder="1" applyAlignment="1">
      <alignment horizontal="center"/>
    </xf>
    <xf numFmtId="0" fontId="76" fillId="0" borderId="52" xfId="0" applyFont="1" applyBorder="1" applyAlignment="1">
      <alignment horizontal="center" vertical="center"/>
    </xf>
    <xf numFmtId="0" fontId="76" fillId="0" borderId="53" xfId="0" applyFont="1" applyBorder="1" applyAlignment="1">
      <alignment horizontal="center" vertical="center"/>
    </xf>
    <xf numFmtId="0" fontId="76" fillId="0" borderId="54" xfId="0" applyFont="1" applyBorder="1" applyAlignment="1">
      <alignment horizontal="center" vertical="center"/>
    </xf>
    <xf numFmtId="0" fontId="26" fillId="0" borderId="27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76" fillId="0" borderId="38" xfId="0" applyFont="1" applyBorder="1" applyAlignment="1">
      <alignment horizontal="center" vertical="center"/>
    </xf>
    <xf numFmtId="0" fontId="76" fillId="0" borderId="39" xfId="0" applyFont="1" applyBorder="1" applyAlignment="1">
      <alignment horizontal="center" vertical="center"/>
    </xf>
    <xf numFmtId="0" fontId="76" fillId="0" borderId="40" xfId="0" applyFont="1" applyBorder="1" applyAlignment="1">
      <alignment horizontal="center" vertical="center"/>
    </xf>
    <xf numFmtId="0" fontId="76" fillId="0" borderId="28" xfId="0" applyFont="1" applyBorder="1" applyAlignment="1">
      <alignment horizontal="center" vertical="center"/>
    </xf>
    <xf numFmtId="0" fontId="76" fillId="0" borderId="27" xfId="0" applyFont="1" applyBorder="1" applyAlignment="1">
      <alignment horizontal="center" vertical="center"/>
    </xf>
    <xf numFmtId="0" fontId="26" fillId="0" borderId="27" xfId="0" applyNumberFormat="1" applyFont="1" applyBorder="1" applyAlignment="1">
      <alignment horizontal="left" vertical="center" wrapText="1"/>
    </xf>
    <xf numFmtId="0" fontId="76" fillId="0" borderId="52" xfId="0" applyFont="1" applyBorder="1" applyAlignment="1">
      <alignment horizontal="center"/>
    </xf>
    <xf numFmtId="0" fontId="76" fillId="0" borderId="53" xfId="0" applyFont="1" applyBorder="1" applyAlignment="1">
      <alignment horizontal="center"/>
    </xf>
    <xf numFmtId="0" fontId="76" fillId="0" borderId="54" xfId="0" applyFont="1" applyBorder="1" applyAlignment="1">
      <alignment horizontal="center"/>
    </xf>
    <xf numFmtId="0" fontId="77" fillId="0" borderId="34" xfId="0" applyFont="1" applyBorder="1" applyAlignment="1">
      <alignment horizontal="center" vertical="center"/>
    </xf>
    <xf numFmtId="0" fontId="77" fillId="0" borderId="24" xfId="0" applyFont="1" applyBorder="1" applyAlignment="1">
      <alignment horizontal="center" vertical="center"/>
    </xf>
    <xf numFmtId="0" fontId="77" fillId="0" borderId="26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/>
    </xf>
    <xf numFmtId="0" fontId="76" fillId="0" borderId="26" xfId="0" applyFont="1" applyBorder="1" applyAlignment="1">
      <alignment horizontal="center" vertical="center"/>
    </xf>
    <xf numFmtId="0" fontId="76" fillId="0" borderId="25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0" fontId="76" fillId="0" borderId="26" xfId="0" applyFont="1" applyBorder="1" applyAlignment="1">
      <alignment horizontal="center" vertical="center" wrapText="1"/>
    </xf>
    <xf numFmtId="0" fontId="7" fillId="0" borderId="0" xfId="102" applyFont="1" applyAlignment="1">
      <alignment horizontal="left"/>
      <protection/>
    </xf>
    <xf numFmtId="0" fontId="28" fillId="0" borderId="0" xfId="99" applyFont="1" applyAlignment="1">
      <alignment horizontal="center" wrapText="1"/>
      <protection/>
    </xf>
    <xf numFmtId="0" fontId="27" fillId="0" borderId="0" xfId="101" applyNumberFormat="1" applyFont="1" applyAlignment="1">
      <alignment horizontal="left" wrapText="1"/>
      <protection/>
    </xf>
    <xf numFmtId="3" fontId="69" fillId="0" borderId="22" xfId="0" applyNumberFormat="1" applyFont="1" applyBorder="1" applyAlignment="1">
      <alignment horizontal="right"/>
    </xf>
    <xf numFmtId="3" fontId="71" fillId="0" borderId="22" xfId="0" applyNumberFormat="1" applyFont="1" applyFill="1" applyBorder="1" applyAlignment="1">
      <alignment horizontal="right"/>
    </xf>
    <xf numFmtId="3" fontId="69" fillId="0" borderId="22" xfId="0" applyNumberFormat="1" applyFont="1" applyFill="1" applyBorder="1" applyAlignment="1">
      <alignment horizontal="right"/>
    </xf>
    <xf numFmtId="0" fontId="71" fillId="0" borderId="22" xfId="0" applyFont="1" applyBorder="1" applyAlignment="1">
      <alignment horizontal="left"/>
    </xf>
    <xf numFmtId="0" fontId="72" fillId="0" borderId="22" xfId="0" applyFont="1" applyBorder="1" applyAlignment="1">
      <alignment horizontal="left"/>
    </xf>
    <xf numFmtId="3" fontId="71" fillId="0" borderId="22" xfId="0" applyNumberFormat="1" applyFont="1" applyBorder="1" applyAlignment="1">
      <alignment horizontal="right"/>
    </xf>
    <xf numFmtId="3" fontId="72" fillId="0" borderId="22" xfId="0" applyNumberFormat="1" applyFont="1" applyFill="1" applyBorder="1" applyAlignment="1">
      <alignment horizontal="right"/>
    </xf>
    <xf numFmtId="0" fontId="7" fillId="0" borderId="0" xfId="99" applyFont="1" applyAlignment="1">
      <alignment horizontal="center" vertical="center" wrapText="1"/>
      <protection/>
    </xf>
    <xf numFmtId="0" fontId="78" fillId="0" borderId="22" xfId="0" applyFont="1" applyBorder="1" applyAlignment="1">
      <alignment horizontal="center" vertical="center" wrapText="1"/>
    </xf>
    <xf numFmtId="3" fontId="82" fillId="0" borderId="22" xfId="0" applyNumberFormat="1" applyFont="1" applyBorder="1" applyAlignment="1">
      <alignment horizontal="center" vertical="center" wrapText="1"/>
    </xf>
    <xf numFmtId="0" fontId="27" fillId="0" borderId="0" xfId="101" applyFont="1" applyAlignment="1">
      <alignment horizontal="left"/>
      <protection/>
    </xf>
    <xf numFmtId="0" fontId="74" fillId="0" borderId="22" xfId="0" applyFont="1" applyBorder="1" applyAlignment="1">
      <alignment horizontal="left"/>
    </xf>
    <xf numFmtId="0" fontId="82" fillId="0" borderId="22" xfId="0" applyFont="1" applyBorder="1" applyAlignment="1">
      <alignment horizontal="left"/>
    </xf>
    <xf numFmtId="0" fontId="78" fillId="0" borderId="22" xfId="0" applyFont="1" applyBorder="1" applyAlignment="1">
      <alignment horizontal="center"/>
    </xf>
    <xf numFmtId="49" fontId="72" fillId="0" borderId="22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/>
    </xf>
    <xf numFmtId="3" fontId="60" fillId="0" borderId="22" xfId="0" applyNumberFormat="1" applyFont="1" applyBorder="1" applyAlignment="1">
      <alignment/>
    </xf>
    <xf numFmtId="0" fontId="78" fillId="0" borderId="22" xfId="0" applyFont="1" applyBorder="1" applyAlignment="1">
      <alignment horizontal="center" vertical="center"/>
    </xf>
    <xf numFmtId="10" fontId="90" fillId="0" borderId="22" xfId="0" applyNumberFormat="1" applyFont="1" applyBorder="1" applyAlignment="1">
      <alignment horizontal="center"/>
    </xf>
    <xf numFmtId="9" fontId="83" fillId="0" borderId="22" xfId="0" applyNumberFormat="1" applyFont="1" applyBorder="1" applyAlignment="1">
      <alignment horizontal="center"/>
    </xf>
    <xf numFmtId="0" fontId="78" fillId="0" borderId="22" xfId="0" applyNumberFormat="1" applyFont="1" applyBorder="1" applyAlignment="1">
      <alignment horizontal="center" wrapText="1"/>
    </xf>
    <xf numFmtId="49" fontId="78" fillId="0" borderId="22" xfId="0" applyNumberFormat="1" applyFont="1" applyBorder="1" applyAlignment="1">
      <alignment horizontal="center" vertical="center" wrapText="1"/>
    </xf>
    <xf numFmtId="0" fontId="74" fillId="0" borderId="23" xfId="0" applyFont="1" applyBorder="1" applyAlignment="1">
      <alignment horizontal="left" wrapText="1"/>
    </xf>
    <xf numFmtId="0" fontId="74" fillId="0" borderId="24" xfId="0" applyFont="1" applyBorder="1" applyAlignment="1">
      <alignment horizontal="left" wrapText="1"/>
    </xf>
    <xf numFmtId="0" fontId="74" fillId="0" borderId="26" xfId="0" applyFont="1" applyBorder="1" applyAlignment="1">
      <alignment horizontal="left" wrapText="1"/>
    </xf>
    <xf numFmtId="0" fontId="74" fillId="0" borderId="0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78" fillId="0" borderId="0" xfId="0" applyFont="1" applyBorder="1" applyAlignment="1">
      <alignment horizontal="center" vertical="center"/>
    </xf>
    <xf numFmtId="0" fontId="7" fillId="0" borderId="0" xfId="98" applyFont="1" applyAlignment="1">
      <alignment horizontal="justify" wrapText="1"/>
      <protection/>
    </xf>
    <xf numFmtId="0" fontId="75" fillId="0" borderId="0" xfId="0" applyFont="1" applyAlignment="1">
      <alignment horizontal="center"/>
    </xf>
    <xf numFmtId="0" fontId="3" fillId="0" borderId="0" xfId="105" applyFont="1" applyAlignment="1">
      <alignment horizontal="left" wrapText="1"/>
      <protection/>
    </xf>
    <xf numFmtId="0" fontId="7" fillId="0" borderId="0" xfId="99" applyFont="1" applyAlignment="1">
      <alignment horizontal="left" wrapText="1"/>
      <protection/>
    </xf>
    <xf numFmtId="0" fontId="3" fillId="0" borderId="0" xfId="96" applyFont="1" applyAlignment="1">
      <alignment horizontal="left" wrapText="1"/>
      <protection/>
    </xf>
    <xf numFmtId="3" fontId="72" fillId="0" borderId="22" xfId="0" applyNumberFormat="1" applyFont="1" applyBorder="1" applyAlignment="1">
      <alignment horizontal="right"/>
    </xf>
    <xf numFmtId="0" fontId="72" fillId="0" borderId="22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/>
    </xf>
    <xf numFmtId="0" fontId="3" fillId="0" borderId="23" xfId="103" applyFont="1" applyBorder="1" applyAlignment="1">
      <alignment horizontal="left" wrapText="1"/>
      <protection/>
    </xf>
    <xf numFmtId="0" fontId="3" fillId="0" borderId="24" xfId="103" applyFont="1" applyBorder="1" applyAlignment="1">
      <alignment horizontal="left" wrapText="1"/>
      <protection/>
    </xf>
    <xf numFmtId="0" fontId="3" fillId="0" borderId="26" xfId="103" applyFont="1" applyBorder="1" applyAlignment="1">
      <alignment horizontal="left" wrapText="1"/>
      <protection/>
    </xf>
    <xf numFmtId="0" fontId="3" fillId="0" borderId="22" xfId="104" applyFont="1" applyBorder="1" applyAlignment="1">
      <alignment horizontal="left"/>
      <protection/>
    </xf>
    <xf numFmtId="0" fontId="69" fillId="0" borderId="22" xfId="0" applyFont="1" applyBorder="1" applyAlignment="1">
      <alignment horizontal="left"/>
    </xf>
    <xf numFmtId="3" fontId="70" fillId="0" borderId="0" xfId="0" applyNumberFormat="1" applyFont="1" applyFill="1" applyAlignment="1">
      <alignment horizontal="center"/>
    </xf>
    <xf numFmtId="0" fontId="27" fillId="0" borderId="0" xfId="101" applyNumberFormat="1" applyFont="1" applyAlignment="1">
      <alignment horizontal="left" vertical="top" wrapText="1"/>
      <protection/>
    </xf>
    <xf numFmtId="0" fontId="7" fillId="0" borderId="0" xfId="98" applyFont="1" applyAlignment="1">
      <alignment horizontal="left"/>
      <protection/>
    </xf>
    <xf numFmtId="0" fontId="77" fillId="0" borderId="0" xfId="0" applyFont="1" applyBorder="1" applyAlignment="1">
      <alignment horizontal="center" vertical="center"/>
    </xf>
    <xf numFmtId="3" fontId="76" fillId="0" borderId="0" xfId="0" applyNumberFormat="1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3" fontId="77" fillId="8" borderId="22" xfId="0" applyNumberFormat="1" applyFont="1" applyFill="1" applyBorder="1" applyAlignment="1">
      <alignment horizontal="center" vertical="center"/>
    </xf>
    <xf numFmtId="3" fontId="77" fillId="8" borderId="27" xfId="0" applyNumberFormat="1" applyFont="1" applyFill="1" applyBorder="1" applyAlignment="1">
      <alignment horizontal="center" vertical="center"/>
    </xf>
    <xf numFmtId="0" fontId="26" fillId="8" borderId="34" xfId="0" applyFont="1" applyFill="1" applyBorder="1" applyAlignment="1">
      <alignment horizontal="left" vertical="center" wrapText="1"/>
    </xf>
    <xf numFmtId="0" fontId="26" fillId="8" borderId="24" xfId="0" applyFont="1" applyFill="1" applyBorder="1" applyAlignment="1">
      <alignment horizontal="left" vertical="center" wrapText="1"/>
    </xf>
    <xf numFmtId="0" fontId="26" fillId="8" borderId="26" xfId="0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center" vertical="center" wrapText="1"/>
    </xf>
    <xf numFmtId="0" fontId="4" fillId="0" borderId="0" xfId="98" applyFont="1" applyAlignment="1">
      <alignment horizontal="left" wrapText="1"/>
      <protection/>
    </xf>
    <xf numFmtId="0" fontId="4" fillId="0" borderId="0" xfId="99" applyFont="1" applyAlignment="1">
      <alignment horizontal="justify" wrapText="1"/>
      <protection/>
    </xf>
    <xf numFmtId="0" fontId="81" fillId="0" borderId="0" xfId="0" applyFont="1" applyAlignment="1">
      <alignment horizontal="justify" wrapText="1"/>
    </xf>
  </cellXfs>
  <cellStyles count="109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20% - Акцент1" xfId="24"/>
    <cellStyle name="20% - Акцент1 2" xfId="25"/>
    <cellStyle name="20% - Акцент2" xfId="26"/>
    <cellStyle name="20% - Акцент2 2" xfId="27"/>
    <cellStyle name="20% - Акцент3" xfId="28"/>
    <cellStyle name="20% - Акцент3 2" xfId="29"/>
    <cellStyle name="20% - Акцент4" xfId="30"/>
    <cellStyle name="20% - Акцент4 2" xfId="31"/>
    <cellStyle name="20% - Акцент5" xfId="32"/>
    <cellStyle name="20% - Акцент5 2" xfId="33"/>
    <cellStyle name="20% - Акцент6" xfId="34"/>
    <cellStyle name="20% - Акцент6 2" xfId="35"/>
    <cellStyle name="40% - Акцент1" xfId="36"/>
    <cellStyle name="40% - Акцент1 2" xfId="37"/>
    <cellStyle name="40% - Акцент2" xfId="38"/>
    <cellStyle name="40% - Акцент2 2" xfId="39"/>
    <cellStyle name="40% - Акцент3" xfId="40"/>
    <cellStyle name="40% - Акцент3 2" xfId="41"/>
    <cellStyle name="40% - Акцент4" xfId="42"/>
    <cellStyle name="40% - Акцент4 2" xfId="43"/>
    <cellStyle name="40% - Акцент5" xfId="44"/>
    <cellStyle name="40% - Акцент5 2" xfId="45"/>
    <cellStyle name="40% - Акцент6" xfId="46"/>
    <cellStyle name="40% - Акцент6 2" xfId="47"/>
    <cellStyle name="60% - Акцент1" xfId="48"/>
    <cellStyle name="60% - Акцент1 2" xfId="49"/>
    <cellStyle name="60% - Акцент2" xfId="50"/>
    <cellStyle name="60% - Акцент2 2" xfId="51"/>
    <cellStyle name="60% - Акцент3" xfId="52"/>
    <cellStyle name="60% - Акцент3 2" xfId="53"/>
    <cellStyle name="60% - Акцент4" xfId="54"/>
    <cellStyle name="60% - Акцент4 2" xfId="55"/>
    <cellStyle name="60% - Акцент5" xfId="56"/>
    <cellStyle name="60% - Акцент5 2" xfId="57"/>
    <cellStyle name="60% - Акцент6" xfId="58"/>
    <cellStyle name="60% - Акцент6 2" xfId="59"/>
    <cellStyle name="Акцент1" xfId="60"/>
    <cellStyle name="Акцент1 2" xfId="61"/>
    <cellStyle name="Акцент2" xfId="62"/>
    <cellStyle name="Акцент2 2" xfId="63"/>
    <cellStyle name="Акцент3" xfId="64"/>
    <cellStyle name="Акцент3 2" xfId="65"/>
    <cellStyle name="Акцент4" xfId="66"/>
    <cellStyle name="Акцент4 2" xfId="67"/>
    <cellStyle name="Акцент5" xfId="68"/>
    <cellStyle name="Акцент5 2" xfId="69"/>
    <cellStyle name="Акцент6" xfId="70"/>
    <cellStyle name="Акцент6 2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Currency" xfId="78"/>
    <cellStyle name="Currency [0]" xfId="79"/>
    <cellStyle name="Заголовок 1" xfId="80"/>
    <cellStyle name="Заголовок 1 2" xfId="81"/>
    <cellStyle name="Заголовок 2" xfId="82"/>
    <cellStyle name="Заголовок 2 2" xfId="83"/>
    <cellStyle name="Заголовок 3" xfId="84"/>
    <cellStyle name="Заголовок 3 2" xfId="85"/>
    <cellStyle name="Заголовок 4" xfId="86"/>
    <cellStyle name="Заголовок 4 2" xfId="87"/>
    <cellStyle name="Итог" xfId="88"/>
    <cellStyle name="Итог 2" xfId="89"/>
    <cellStyle name="Контрольная ячейка" xfId="90"/>
    <cellStyle name="Контрольная ячейка 2" xfId="91"/>
    <cellStyle name="Название" xfId="92"/>
    <cellStyle name="Название 2" xfId="93"/>
    <cellStyle name="Нейтральный" xfId="94"/>
    <cellStyle name="Нейтральный 2" xfId="95"/>
    <cellStyle name="Обычный 10" xfId="96"/>
    <cellStyle name="Обычный 11" xfId="97"/>
    <cellStyle name="Обычный 12" xfId="98"/>
    <cellStyle name="Обычный 2" xfId="99"/>
    <cellStyle name="Обычный 3" xfId="100"/>
    <cellStyle name="Обычный 4" xfId="101"/>
    <cellStyle name="Обычный 5" xfId="102"/>
    <cellStyle name="Обычный 6" xfId="103"/>
    <cellStyle name="Обычный 7" xfId="104"/>
    <cellStyle name="Обычный 8" xfId="105"/>
    <cellStyle name="Обычный 9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  <cellStyle name="Џђћ–…ќ’ќ›‰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350"/>
  <sheetViews>
    <sheetView tabSelected="1" view="pageBreakPreview" zoomScaleSheetLayoutView="100" zoomScalePageLayoutView="0" workbookViewId="0" topLeftCell="A16">
      <selection activeCell="A24" sqref="A24:W24"/>
    </sheetView>
  </sheetViews>
  <sheetFormatPr defaultColWidth="9.140625" defaultRowHeight="15"/>
  <cols>
    <col min="1" max="1" width="1.7109375" style="10" customWidth="1"/>
    <col min="2" max="2" width="1.421875" style="10" customWidth="1"/>
    <col min="3" max="5" width="1.8515625" style="10" customWidth="1"/>
    <col min="6" max="6" width="1.7109375" style="10" customWidth="1"/>
    <col min="7" max="7" width="1.421875" style="10" customWidth="1"/>
    <col min="8" max="8" width="1.8515625" style="10" customWidth="1"/>
    <col min="9" max="9" width="2.28125" style="10" customWidth="1"/>
    <col min="10" max="15" width="1.8515625" style="10" customWidth="1"/>
    <col min="16" max="17" width="2.140625" style="10" customWidth="1"/>
    <col min="18" max="18" width="1.8515625" style="10" customWidth="1"/>
    <col min="19" max="19" width="2.140625" style="10" customWidth="1"/>
    <col min="20" max="20" width="2.421875" style="10" customWidth="1"/>
    <col min="21" max="21" width="2.00390625" style="10" customWidth="1"/>
    <col min="22" max="22" width="2.7109375" style="10" customWidth="1"/>
    <col min="23" max="23" width="2.140625" style="10" customWidth="1"/>
    <col min="24" max="24" width="2.00390625" style="10" customWidth="1"/>
    <col min="25" max="25" width="1.8515625" style="10" customWidth="1"/>
    <col min="26" max="26" width="2.00390625" style="10" customWidth="1"/>
    <col min="27" max="27" width="2.57421875" style="10" customWidth="1"/>
    <col min="28" max="28" width="2.28125" style="10" customWidth="1"/>
    <col min="29" max="29" width="1.57421875" style="10" customWidth="1"/>
    <col min="30" max="30" width="2.140625" style="10" customWidth="1"/>
    <col min="31" max="34" width="1.8515625" style="10" customWidth="1"/>
    <col min="35" max="35" width="2.140625" style="10" customWidth="1"/>
    <col min="36" max="37" width="1.8515625" style="10" customWidth="1"/>
    <col min="38" max="38" width="1.7109375" style="10" customWidth="1"/>
    <col min="39" max="39" width="2.28125" style="10" customWidth="1"/>
    <col min="40" max="40" width="2.00390625" style="10" customWidth="1"/>
    <col min="41" max="41" width="1.8515625" style="10" customWidth="1"/>
    <col min="42" max="42" width="2.140625" style="10" customWidth="1"/>
    <col min="43" max="43" width="2.00390625" style="10" customWidth="1"/>
    <col min="44" max="45" width="2.28125" style="10" customWidth="1"/>
    <col min="46" max="46" width="2.57421875" style="10" customWidth="1"/>
    <col min="47" max="47" width="1.8515625" style="10" customWidth="1"/>
    <col min="48" max="48" width="2.00390625" style="10" customWidth="1"/>
    <col min="49" max="49" width="1.8515625" style="10" customWidth="1"/>
    <col min="50" max="50" width="1.7109375" style="10" customWidth="1"/>
    <col min="51" max="51" width="2.421875" style="10" customWidth="1"/>
    <col min="52" max="76" width="2.28125" style="10" customWidth="1"/>
    <col min="77" max="16384" width="9.140625" style="10" customWidth="1"/>
  </cols>
  <sheetData>
    <row r="1" spans="1:50" s="25" customFormat="1" ht="20.25">
      <c r="A1" s="265" t="s">
        <v>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</row>
    <row r="2" spans="1:50" s="25" customFormat="1" ht="20.25">
      <c r="A2" s="265" t="s">
        <v>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</row>
    <row r="3" spans="1:50" s="25" customFormat="1" ht="20.25">
      <c r="A3" s="265" t="s">
        <v>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</row>
    <row r="4" ht="8.25" customHeight="1"/>
    <row r="5" ht="9.75" customHeight="1"/>
    <row r="6" spans="1:50" s="66" customFormat="1" ht="37.5" customHeight="1">
      <c r="A6" s="292" t="s">
        <v>168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</row>
    <row r="7" ht="15.75">
      <c r="A7" s="13" t="s">
        <v>42</v>
      </c>
    </row>
    <row r="8" ht="12.75" customHeight="1"/>
    <row r="9" ht="15.75">
      <c r="B9" s="14" t="s">
        <v>171</v>
      </c>
    </row>
    <row r="10" ht="15.75">
      <c r="B10" s="14" t="s">
        <v>172</v>
      </c>
    </row>
    <row r="11" spans="2:50" ht="29.25" customHeight="1">
      <c r="B11" s="266" t="s">
        <v>169</v>
      </c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</row>
    <row r="12" spans="2:50" ht="15.75">
      <c r="B12" s="112" t="s">
        <v>173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</row>
    <row r="13" spans="2:50" ht="32.25" customHeight="1">
      <c r="B13" s="113" t="s">
        <v>174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</row>
    <row r="14" ht="11.25" customHeight="1">
      <c r="B14" s="14"/>
    </row>
    <row r="15" spans="1:50" s="12" customFormat="1" ht="15.75">
      <c r="A15" s="116" t="s">
        <v>18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</row>
    <row r="16" ht="12" customHeight="1"/>
    <row r="17" s="65" customFormat="1" ht="18.75">
      <c r="A17" s="64" t="s">
        <v>19</v>
      </c>
    </row>
    <row r="18" spans="1:50" ht="15.75">
      <c r="A18" s="233" t="s">
        <v>170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</row>
    <row r="19" ht="11.25" customHeight="1"/>
    <row r="20" spans="1:47" s="12" customFormat="1" ht="15.75">
      <c r="A20" s="270" t="s">
        <v>7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1" t="s">
        <v>14</v>
      </c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</row>
    <row r="21" spans="1:47" s="86" customFormat="1" ht="63" customHeight="1">
      <c r="A21" s="270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104" t="s">
        <v>13</v>
      </c>
      <c r="Y21" s="104"/>
      <c r="Z21" s="104"/>
      <c r="AA21" s="104"/>
      <c r="AB21" s="104"/>
      <c r="AC21" s="104"/>
      <c r="AD21" s="104"/>
      <c r="AE21" s="104"/>
      <c r="AF21" s="104" t="s">
        <v>15</v>
      </c>
      <c r="AG21" s="104"/>
      <c r="AH21" s="104"/>
      <c r="AI21" s="104"/>
      <c r="AJ21" s="104"/>
      <c r="AK21" s="104"/>
      <c r="AL21" s="104"/>
      <c r="AM21" s="104"/>
      <c r="AN21" s="104" t="s">
        <v>12</v>
      </c>
      <c r="AO21" s="104"/>
      <c r="AP21" s="104"/>
      <c r="AQ21" s="104"/>
      <c r="AR21" s="104"/>
      <c r="AS21" s="104"/>
      <c r="AT21" s="104"/>
      <c r="AU21" s="104"/>
    </row>
    <row r="22" spans="1:47" ht="31.5" customHeight="1">
      <c r="A22" s="272" t="s">
        <v>175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4"/>
      <c r="X22" s="241">
        <v>1500000000</v>
      </c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>
        <f>X22+AF22</f>
        <v>1500000000</v>
      </c>
      <c r="AO22" s="241"/>
      <c r="AP22" s="241"/>
      <c r="AQ22" s="241"/>
      <c r="AR22" s="241"/>
      <c r="AS22" s="241"/>
      <c r="AT22" s="241"/>
      <c r="AU22" s="241"/>
    </row>
    <row r="23" spans="1:47" ht="15.75">
      <c r="A23" s="275" t="s">
        <v>209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41">
        <f>X24+X25</f>
        <v>324000000</v>
      </c>
      <c r="Y23" s="241"/>
      <c r="Z23" s="241"/>
      <c r="AA23" s="241"/>
      <c r="AB23" s="241"/>
      <c r="AC23" s="241"/>
      <c r="AD23" s="241"/>
      <c r="AE23" s="241"/>
      <c r="AF23" s="241">
        <v>205467157</v>
      </c>
      <c r="AG23" s="241"/>
      <c r="AH23" s="241"/>
      <c r="AI23" s="241"/>
      <c r="AJ23" s="241"/>
      <c r="AK23" s="241"/>
      <c r="AL23" s="241"/>
      <c r="AM23" s="241"/>
      <c r="AN23" s="241">
        <f aca="true" t="shared" si="0" ref="AN23:AN30">X23+AF23</f>
        <v>529467157</v>
      </c>
      <c r="AO23" s="241"/>
      <c r="AP23" s="241"/>
      <c r="AQ23" s="241"/>
      <c r="AR23" s="241"/>
      <c r="AS23" s="241"/>
      <c r="AT23" s="241"/>
      <c r="AU23" s="241"/>
    </row>
    <row r="24" spans="1:47" s="8" customFormat="1" ht="12.75">
      <c r="A24" s="276" t="s">
        <v>8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36">
        <v>319000000</v>
      </c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>
        <f t="shared" si="0"/>
        <v>319000000</v>
      </c>
      <c r="AO24" s="236"/>
      <c r="AP24" s="236"/>
      <c r="AQ24" s="236"/>
      <c r="AR24" s="236"/>
      <c r="AS24" s="236"/>
      <c r="AT24" s="236"/>
      <c r="AU24" s="236"/>
    </row>
    <row r="25" spans="1:47" s="8" customFormat="1" ht="12.75">
      <c r="A25" s="276" t="s">
        <v>96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36">
        <v>5000000</v>
      </c>
      <c r="Y25" s="236"/>
      <c r="Z25" s="236"/>
      <c r="AA25" s="236"/>
      <c r="AB25" s="236"/>
      <c r="AC25" s="236"/>
      <c r="AD25" s="236"/>
      <c r="AE25" s="236"/>
      <c r="AF25" s="236">
        <v>108275300</v>
      </c>
      <c r="AG25" s="236"/>
      <c r="AH25" s="236"/>
      <c r="AI25" s="236"/>
      <c r="AJ25" s="236"/>
      <c r="AK25" s="236"/>
      <c r="AL25" s="236"/>
      <c r="AM25" s="236"/>
      <c r="AN25" s="236">
        <f t="shared" si="0"/>
        <v>113275300</v>
      </c>
      <c r="AO25" s="236"/>
      <c r="AP25" s="236"/>
      <c r="AQ25" s="236"/>
      <c r="AR25" s="236"/>
      <c r="AS25" s="236"/>
      <c r="AT25" s="236"/>
      <c r="AU25" s="236"/>
    </row>
    <row r="26" spans="1:51" ht="15.75">
      <c r="A26" s="239" t="s">
        <v>9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7">
        <v>1474611000</v>
      </c>
      <c r="Y26" s="237"/>
      <c r="Z26" s="237"/>
      <c r="AA26" s="237"/>
      <c r="AB26" s="237"/>
      <c r="AC26" s="237"/>
      <c r="AD26" s="237"/>
      <c r="AE26" s="237"/>
      <c r="AF26" s="237">
        <v>757094520</v>
      </c>
      <c r="AG26" s="237"/>
      <c r="AH26" s="237"/>
      <c r="AI26" s="237"/>
      <c r="AJ26" s="237"/>
      <c r="AK26" s="237"/>
      <c r="AL26" s="237"/>
      <c r="AM26" s="237"/>
      <c r="AN26" s="241">
        <f t="shared" si="0"/>
        <v>2231705520</v>
      </c>
      <c r="AO26" s="241"/>
      <c r="AP26" s="241"/>
      <c r="AQ26" s="241"/>
      <c r="AR26" s="241"/>
      <c r="AS26" s="241"/>
      <c r="AT26" s="241"/>
      <c r="AU26" s="241"/>
      <c r="AY26" s="30"/>
    </row>
    <row r="27" spans="1:51" s="8" customFormat="1" ht="12.75">
      <c r="A27" s="276" t="s">
        <v>10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38">
        <v>53147397</v>
      </c>
      <c r="Y27" s="238"/>
      <c r="Z27" s="238"/>
      <c r="AA27" s="238"/>
      <c r="AB27" s="238"/>
      <c r="AC27" s="238"/>
      <c r="AD27" s="238"/>
      <c r="AE27" s="238"/>
      <c r="AF27" s="238">
        <v>70368443</v>
      </c>
      <c r="AG27" s="238"/>
      <c r="AH27" s="238"/>
      <c r="AI27" s="238"/>
      <c r="AJ27" s="238"/>
      <c r="AK27" s="238"/>
      <c r="AL27" s="238"/>
      <c r="AM27" s="238"/>
      <c r="AN27" s="236">
        <f t="shared" si="0"/>
        <v>123515840</v>
      </c>
      <c r="AO27" s="236"/>
      <c r="AP27" s="236"/>
      <c r="AQ27" s="236"/>
      <c r="AR27" s="236"/>
      <c r="AS27" s="236"/>
      <c r="AT27" s="236"/>
      <c r="AU27" s="236"/>
      <c r="AY27" s="31"/>
    </row>
    <row r="28" spans="1:47" ht="15.75">
      <c r="A28" s="239" t="s">
        <v>11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7">
        <f>155912900</f>
        <v>155912900</v>
      </c>
      <c r="Y28" s="237"/>
      <c r="Z28" s="237"/>
      <c r="AA28" s="237"/>
      <c r="AB28" s="237"/>
      <c r="AC28" s="237"/>
      <c r="AD28" s="237"/>
      <c r="AE28" s="237"/>
      <c r="AF28" s="237">
        <f>383078568+94001405</f>
        <v>477079973</v>
      </c>
      <c r="AG28" s="237"/>
      <c r="AH28" s="237"/>
      <c r="AI28" s="237"/>
      <c r="AJ28" s="237"/>
      <c r="AK28" s="237"/>
      <c r="AL28" s="237"/>
      <c r="AM28" s="237"/>
      <c r="AN28" s="241">
        <f t="shared" si="0"/>
        <v>632992873</v>
      </c>
      <c r="AO28" s="241"/>
      <c r="AP28" s="241"/>
      <c r="AQ28" s="241"/>
      <c r="AR28" s="241"/>
      <c r="AS28" s="241"/>
      <c r="AT28" s="241"/>
      <c r="AU28" s="241"/>
    </row>
    <row r="29" spans="1:47" ht="15.75">
      <c r="A29" s="239" t="s">
        <v>16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7"/>
      <c r="Y29" s="237"/>
      <c r="Z29" s="237"/>
      <c r="AA29" s="237"/>
      <c r="AB29" s="237"/>
      <c r="AC29" s="237"/>
      <c r="AD29" s="237"/>
      <c r="AE29" s="237"/>
      <c r="AF29" s="237">
        <f>242990355-7000000+3823220+63550604</f>
        <v>303364179</v>
      </c>
      <c r="AG29" s="237"/>
      <c r="AH29" s="237"/>
      <c r="AI29" s="237"/>
      <c r="AJ29" s="237"/>
      <c r="AK29" s="237"/>
      <c r="AL29" s="237"/>
      <c r="AM29" s="237"/>
      <c r="AN29" s="241">
        <f t="shared" si="0"/>
        <v>303364179</v>
      </c>
      <c r="AO29" s="241"/>
      <c r="AP29" s="241"/>
      <c r="AQ29" s="241"/>
      <c r="AR29" s="241"/>
      <c r="AS29" s="241"/>
      <c r="AT29" s="241"/>
      <c r="AU29" s="241"/>
    </row>
    <row r="30" spans="1:58" ht="15.75">
      <c r="A30" s="239" t="s">
        <v>17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7">
        <v>24141785</v>
      </c>
      <c r="Y30" s="237"/>
      <c r="Z30" s="237"/>
      <c r="AA30" s="237"/>
      <c r="AB30" s="237"/>
      <c r="AC30" s="237"/>
      <c r="AD30" s="237"/>
      <c r="AE30" s="237"/>
      <c r="AF30" s="237">
        <v>7000000</v>
      </c>
      <c r="AG30" s="237"/>
      <c r="AH30" s="237"/>
      <c r="AI30" s="237"/>
      <c r="AJ30" s="237"/>
      <c r="AK30" s="237"/>
      <c r="AL30" s="237"/>
      <c r="AM30" s="237"/>
      <c r="AN30" s="241">
        <f t="shared" si="0"/>
        <v>31141785</v>
      </c>
      <c r="AO30" s="241"/>
      <c r="AP30" s="241"/>
      <c r="AQ30" s="241"/>
      <c r="AR30" s="241"/>
      <c r="AS30" s="241"/>
      <c r="AT30" s="241"/>
      <c r="AU30" s="241"/>
      <c r="AZ30" s="117"/>
      <c r="BA30" s="118"/>
      <c r="BB30" s="118"/>
      <c r="BC30" s="118"/>
      <c r="BD30" s="118"/>
      <c r="BE30" s="118"/>
      <c r="BF30" s="118"/>
    </row>
    <row r="31" spans="1:58" s="12" customFormat="1" ht="15.75">
      <c r="A31" s="240" t="s">
        <v>32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2">
        <f>X22+X23+X26+X30+X28</f>
        <v>3478665685</v>
      </c>
      <c r="Y31" s="242"/>
      <c r="Z31" s="242"/>
      <c r="AA31" s="242"/>
      <c r="AB31" s="242"/>
      <c r="AC31" s="242"/>
      <c r="AD31" s="242"/>
      <c r="AE31" s="242"/>
      <c r="AF31" s="242">
        <f>AF26+AF28+AF29+AF30+AF23</f>
        <v>1750005829</v>
      </c>
      <c r="AG31" s="242"/>
      <c r="AH31" s="242"/>
      <c r="AI31" s="242"/>
      <c r="AJ31" s="242"/>
      <c r="AK31" s="242"/>
      <c r="AL31" s="242"/>
      <c r="AM31" s="242"/>
      <c r="AN31" s="269">
        <f>AN22+AN23+AN26+AN28+AN29+AN30</f>
        <v>5228671514</v>
      </c>
      <c r="AO31" s="269"/>
      <c r="AP31" s="269"/>
      <c r="AQ31" s="269"/>
      <c r="AR31" s="269"/>
      <c r="AS31" s="269"/>
      <c r="AT31" s="269"/>
      <c r="AU31" s="269"/>
      <c r="AY31" s="115"/>
      <c r="AZ31" s="116"/>
      <c r="BA31" s="116"/>
      <c r="BB31" s="116"/>
      <c r="BC31" s="116"/>
      <c r="BD31" s="116"/>
      <c r="BE31" s="116"/>
      <c r="BF31" s="116"/>
    </row>
    <row r="32" spans="1:58" s="8" customFormat="1" ht="12.75">
      <c r="A32" s="62" t="s">
        <v>97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Z32" s="119"/>
      <c r="BA32" s="120"/>
      <c r="BB32" s="120"/>
      <c r="BC32" s="120"/>
      <c r="BD32" s="120"/>
      <c r="BE32" s="120"/>
      <c r="BF32" s="120"/>
    </row>
    <row r="33" spans="1:47" s="12" customFormat="1" ht="11.2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</row>
    <row r="34" spans="1:51" s="65" customFormat="1" ht="33" customHeight="1">
      <c r="A34" s="291" t="s">
        <v>3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67"/>
    </row>
    <row r="35" spans="1:51" ht="17.25" customHeight="1">
      <c r="A35" s="267" t="s">
        <v>43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"/>
    </row>
    <row r="36" spans="1:51" ht="36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43" t="s">
        <v>95</v>
      </c>
      <c r="AK36" s="243"/>
      <c r="AL36" s="243"/>
      <c r="AM36" s="243"/>
      <c r="AN36" s="243"/>
      <c r="AO36" s="243"/>
      <c r="AP36" s="243"/>
      <c r="AQ36" s="28"/>
      <c r="AR36" s="234" t="s">
        <v>98</v>
      </c>
      <c r="AS36" s="234"/>
      <c r="AT36" s="234"/>
      <c r="AU36" s="234"/>
      <c r="AV36" s="234"/>
      <c r="AW36" s="234"/>
      <c r="AX36" s="234"/>
      <c r="AY36" s="2"/>
    </row>
    <row r="37" ht="6.75" customHeight="1">
      <c r="AY37" s="1"/>
    </row>
    <row r="38" spans="1:51" ht="15.75">
      <c r="A38" s="3" t="s">
        <v>176</v>
      </c>
      <c r="AJ38" s="114">
        <f>9000+AJ40+AJ43+AJ44+AJ45+AJ47+AJ48+AJ49+AJ50+AJ51+AJ52+AJ53+AJ54+AJ55+AJ56+AJ57+AJ58+AJ59+AJ60+AJ61+AJ62+AJ63+AJ64+AJ65+AJ66+AJ67+AJ68+AJ69+AJ70+AJ71+AJ72+AJ73+AJ74+AJ75+AJ76+AJ77+AJ78+AJ79+AJ80+AJ81+AJ82+AJ83+AJ84+AJ85+AJ86+AJ87+AJ88+AJ89+AJ90+AJ92+AJ94+AJ95+AJ96+AJ97+AJ98+AJ99+AJ100+AJ101+AJ102</f>
        <v>3728671514</v>
      </c>
      <c r="AK38" s="114"/>
      <c r="AL38" s="114"/>
      <c r="AM38" s="114"/>
      <c r="AN38" s="114"/>
      <c r="AO38" s="114"/>
      <c r="AP38" s="114"/>
      <c r="AQ38" s="46"/>
      <c r="AR38" s="114">
        <f>AR40+AR43+AR44+AR45+AR47+AR48+AR49+AR50+AR51+AR52+AR53+AR54+AR55+AR56+AR57+AR58+AR59+AR60+AR61+AR62+AR63+AR64+AR65+AR66+AR67+AR68+AR69+AR70+AR71+AR72+AR73+AR74+AR75+AR76+AR77+AR78+AR79+AR80+AR81+AR82+AR83+AR84+AR85+AR86+AR87+AR88+AR89+AR90+AR92+AR94+AR95+AR96+AR97+AR98+AR99+AR100+AR101+AR102</f>
        <v>1750005829</v>
      </c>
      <c r="AS38" s="114"/>
      <c r="AT38" s="114"/>
      <c r="AU38" s="114"/>
      <c r="AV38" s="114"/>
      <c r="AW38" s="114"/>
      <c r="AX38" s="114"/>
      <c r="AY38" s="1"/>
    </row>
    <row r="39" ht="6.75" customHeight="1">
      <c r="AY39" s="1"/>
    </row>
    <row r="40" spans="1:51" ht="15.75">
      <c r="A40" s="3" t="s">
        <v>177</v>
      </c>
      <c r="AJ40" s="114">
        <f>375451494+744736124+31605337+18000000+81948506+8400000+319000000</f>
        <v>1579141461</v>
      </c>
      <c r="AK40" s="114"/>
      <c r="AL40" s="114"/>
      <c r="AM40" s="114"/>
      <c r="AN40" s="114"/>
      <c r="AO40" s="114"/>
      <c r="AP40" s="114"/>
      <c r="AQ40" s="46"/>
      <c r="AR40" s="277">
        <f>375451494+81948506+8400000</f>
        <v>465800000</v>
      </c>
      <c r="AS40" s="277"/>
      <c r="AT40" s="277"/>
      <c r="AU40" s="277"/>
      <c r="AV40" s="277"/>
      <c r="AW40" s="277"/>
      <c r="AX40" s="277"/>
      <c r="AY40" s="1"/>
    </row>
    <row r="41" spans="1:50" ht="15.75">
      <c r="A41" s="4" t="s">
        <v>4</v>
      </c>
      <c r="AJ41" s="52"/>
      <c r="AK41" s="52"/>
      <c r="AL41" s="52"/>
      <c r="AM41" s="52"/>
      <c r="AN41" s="52"/>
      <c r="AO41" s="52"/>
      <c r="AP41" s="52"/>
      <c r="AQ41" s="46"/>
      <c r="AR41" s="48"/>
      <c r="AS41" s="48"/>
      <c r="AT41" s="48"/>
      <c r="AU41" s="48"/>
      <c r="AV41" s="48"/>
      <c r="AW41" s="48"/>
      <c r="AX41" s="48"/>
    </row>
    <row r="42" spans="36:50" ht="9" customHeight="1">
      <c r="AJ42" s="52"/>
      <c r="AK42" s="52"/>
      <c r="AL42" s="52"/>
      <c r="AM42" s="52"/>
      <c r="AN42" s="52"/>
      <c r="AO42" s="52"/>
      <c r="AP42" s="52"/>
      <c r="AQ42" s="46"/>
      <c r="AR42" s="48"/>
      <c r="AS42" s="48"/>
      <c r="AT42" s="48"/>
      <c r="AU42" s="48"/>
      <c r="AV42" s="48"/>
      <c r="AW42" s="48"/>
      <c r="AX42" s="48"/>
    </row>
    <row r="43" spans="2:50" ht="15.75">
      <c r="B43" s="7"/>
      <c r="C43" s="246" t="s">
        <v>99</v>
      </c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42"/>
      <c r="AJ43" s="114">
        <f>285190000+304707640+25445262+5828600+10000000</f>
        <v>631171502</v>
      </c>
      <c r="AK43" s="114"/>
      <c r="AL43" s="114"/>
      <c r="AM43" s="114"/>
      <c r="AN43" s="114"/>
      <c r="AO43" s="114"/>
      <c r="AP43" s="114"/>
      <c r="AQ43" s="46"/>
      <c r="AR43" s="277">
        <f>285190000+10000000</f>
        <v>295190000</v>
      </c>
      <c r="AS43" s="277"/>
      <c r="AT43" s="277"/>
      <c r="AU43" s="277"/>
      <c r="AV43" s="277"/>
      <c r="AW43" s="277"/>
      <c r="AX43" s="277"/>
    </row>
    <row r="44" spans="2:50" ht="15.75">
      <c r="B44" s="7"/>
      <c r="C44" s="246" t="s">
        <v>100</v>
      </c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42"/>
      <c r="AJ44" s="114">
        <f>85308300+266551848+1959100+2115124+5726000+5000000</f>
        <v>366660372</v>
      </c>
      <c r="AK44" s="114"/>
      <c r="AL44" s="114"/>
      <c r="AM44" s="114"/>
      <c r="AN44" s="114"/>
      <c r="AO44" s="114"/>
      <c r="AP44" s="114"/>
      <c r="AQ44" s="46"/>
      <c r="AR44" s="277">
        <f>85308300+5726000</f>
        <v>91034300</v>
      </c>
      <c r="AS44" s="277"/>
      <c r="AT44" s="277"/>
      <c r="AU44" s="277"/>
      <c r="AV44" s="277"/>
      <c r="AW44" s="277"/>
      <c r="AX44" s="277"/>
    </row>
    <row r="45" spans="2:50" ht="15.75">
      <c r="B45" s="7"/>
      <c r="C45" s="246" t="s">
        <v>101</v>
      </c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42"/>
      <c r="AJ45" s="114">
        <f>53143447+74682256+222247+313185</f>
        <v>128361135</v>
      </c>
      <c r="AK45" s="114"/>
      <c r="AL45" s="114"/>
      <c r="AM45" s="114"/>
      <c r="AN45" s="114"/>
      <c r="AO45" s="114"/>
      <c r="AP45" s="114"/>
      <c r="AQ45" s="46"/>
      <c r="AR45" s="277">
        <f>53143447</f>
        <v>53143447</v>
      </c>
      <c r="AS45" s="277"/>
      <c r="AT45" s="277"/>
      <c r="AU45" s="277"/>
      <c r="AV45" s="277"/>
      <c r="AW45" s="277"/>
      <c r="AX45" s="277"/>
    </row>
    <row r="46" spans="3:50" ht="9" customHeight="1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2"/>
      <c r="AJ46" s="52"/>
      <c r="AK46" s="52"/>
      <c r="AL46" s="52"/>
      <c r="AM46" s="52"/>
      <c r="AN46" s="52"/>
      <c r="AO46" s="52"/>
      <c r="AP46" s="52"/>
      <c r="AQ46" s="46"/>
      <c r="AR46" s="48"/>
      <c r="AS46" s="48"/>
      <c r="AT46" s="48"/>
      <c r="AU46" s="48"/>
      <c r="AV46" s="48"/>
      <c r="AW46" s="48"/>
      <c r="AX46" s="48"/>
    </row>
    <row r="47" spans="2:50" ht="15.75">
      <c r="B47" s="5"/>
      <c r="C47" s="246" t="s">
        <v>102</v>
      </c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42"/>
      <c r="AJ47" s="114">
        <f>16500000+9316868</f>
        <v>25816868</v>
      </c>
      <c r="AK47" s="114"/>
      <c r="AL47" s="114"/>
      <c r="AM47" s="114"/>
      <c r="AN47" s="114"/>
      <c r="AO47" s="114"/>
      <c r="AP47" s="114"/>
      <c r="AQ47" s="46"/>
      <c r="AR47" s="277">
        <f>16500000</f>
        <v>16500000</v>
      </c>
      <c r="AS47" s="277"/>
      <c r="AT47" s="277"/>
      <c r="AU47" s="277"/>
      <c r="AV47" s="277"/>
      <c r="AW47" s="277"/>
      <c r="AX47" s="277"/>
    </row>
    <row r="48" spans="2:50" ht="15.75">
      <c r="B48" s="5"/>
      <c r="C48" s="246" t="s">
        <v>103</v>
      </c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42"/>
      <c r="AJ48" s="114">
        <f>5378400+12467816</f>
        <v>17846216</v>
      </c>
      <c r="AK48" s="114"/>
      <c r="AL48" s="114"/>
      <c r="AM48" s="114"/>
      <c r="AN48" s="114"/>
      <c r="AO48" s="114"/>
      <c r="AP48" s="114"/>
      <c r="AQ48" s="46"/>
      <c r="AR48" s="277">
        <f>5378400</f>
        <v>5378400</v>
      </c>
      <c r="AS48" s="277"/>
      <c r="AT48" s="277"/>
      <c r="AU48" s="277"/>
      <c r="AV48" s="277"/>
      <c r="AW48" s="277"/>
      <c r="AX48" s="277"/>
    </row>
    <row r="49" spans="2:50" ht="15.75">
      <c r="B49" s="5"/>
      <c r="C49" s="246" t="s">
        <v>104</v>
      </c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42"/>
      <c r="AJ49" s="114">
        <f>9257900+10012857</f>
        <v>19270757</v>
      </c>
      <c r="AK49" s="114"/>
      <c r="AL49" s="114"/>
      <c r="AM49" s="114"/>
      <c r="AN49" s="114"/>
      <c r="AO49" s="114"/>
      <c r="AP49" s="114"/>
      <c r="AQ49" s="46"/>
      <c r="AR49" s="277">
        <f>9257900</f>
        <v>9257900</v>
      </c>
      <c r="AS49" s="277"/>
      <c r="AT49" s="277"/>
      <c r="AU49" s="277"/>
      <c r="AV49" s="277"/>
      <c r="AW49" s="277"/>
      <c r="AX49" s="277"/>
    </row>
    <row r="50" spans="2:50" ht="15.75">
      <c r="B50" s="5"/>
      <c r="C50" s="246" t="s">
        <v>105</v>
      </c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42"/>
      <c r="AJ50" s="114">
        <f>20035000+6111915</f>
        <v>26146915</v>
      </c>
      <c r="AK50" s="114"/>
      <c r="AL50" s="114"/>
      <c r="AM50" s="114"/>
      <c r="AN50" s="114"/>
      <c r="AO50" s="114"/>
      <c r="AP50" s="114"/>
      <c r="AQ50" s="46"/>
      <c r="AR50" s="277">
        <f>20035000</f>
        <v>20035000</v>
      </c>
      <c r="AS50" s="277"/>
      <c r="AT50" s="277"/>
      <c r="AU50" s="277"/>
      <c r="AV50" s="277"/>
      <c r="AW50" s="277"/>
      <c r="AX50" s="277"/>
    </row>
    <row r="51" spans="2:50" ht="15.75">
      <c r="B51" s="5"/>
      <c r="C51" s="246" t="s">
        <v>106</v>
      </c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42"/>
      <c r="AJ51" s="114">
        <f>6300000+2569149</f>
        <v>8869149</v>
      </c>
      <c r="AK51" s="114"/>
      <c r="AL51" s="114"/>
      <c r="AM51" s="114"/>
      <c r="AN51" s="114"/>
      <c r="AO51" s="114"/>
      <c r="AP51" s="114"/>
      <c r="AQ51" s="46"/>
      <c r="AR51" s="277">
        <f>6300000</f>
        <v>6300000</v>
      </c>
      <c r="AS51" s="277"/>
      <c r="AT51" s="277"/>
      <c r="AU51" s="277"/>
      <c r="AV51" s="277"/>
      <c r="AW51" s="277"/>
      <c r="AX51" s="277"/>
    </row>
    <row r="52" spans="2:50" ht="15.75">
      <c r="B52" s="5"/>
      <c r="C52" s="246" t="s">
        <v>107</v>
      </c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42"/>
      <c r="AJ52" s="114">
        <f>4103000</f>
        <v>4103000</v>
      </c>
      <c r="AK52" s="114"/>
      <c r="AL52" s="114"/>
      <c r="AM52" s="114"/>
      <c r="AN52" s="114"/>
      <c r="AO52" s="114"/>
      <c r="AP52" s="114"/>
      <c r="AQ52" s="46"/>
      <c r="AR52" s="277">
        <f>4103000</f>
        <v>4103000</v>
      </c>
      <c r="AS52" s="277"/>
      <c r="AT52" s="277"/>
      <c r="AU52" s="277"/>
      <c r="AV52" s="277"/>
      <c r="AW52" s="277"/>
      <c r="AX52" s="277"/>
    </row>
    <row r="53" spans="2:50" ht="15.75">
      <c r="B53" s="5"/>
      <c r="C53" s="246" t="s">
        <v>108</v>
      </c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42"/>
      <c r="AJ53" s="114">
        <f>3608000</f>
        <v>3608000</v>
      </c>
      <c r="AK53" s="114"/>
      <c r="AL53" s="114"/>
      <c r="AM53" s="114"/>
      <c r="AN53" s="114"/>
      <c r="AO53" s="114"/>
      <c r="AP53" s="114"/>
      <c r="AQ53" s="46"/>
      <c r="AR53" s="277">
        <f>3608000</f>
        <v>3608000</v>
      </c>
      <c r="AS53" s="277"/>
      <c r="AT53" s="277"/>
      <c r="AU53" s="277"/>
      <c r="AV53" s="277"/>
      <c r="AW53" s="277"/>
      <c r="AX53" s="277"/>
    </row>
    <row r="54" spans="2:50" ht="15.75">
      <c r="B54" s="5"/>
      <c r="C54" s="246" t="s">
        <v>109</v>
      </c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42"/>
      <c r="AJ54" s="114">
        <f>1028078</f>
        <v>1028078</v>
      </c>
      <c r="AK54" s="114"/>
      <c r="AL54" s="114"/>
      <c r="AM54" s="114"/>
      <c r="AN54" s="114"/>
      <c r="AO54" s="114"/>
      <c r="AP54" s="114"/>
      <c r="AQ54" s="46"/>
      <c r="AR54" s="277">
        <f>1028078</f>
        <v>1028078</v>
      </c>
      <c r="AS54" s="277"/>
      <c r="AT54" s="277"/>
      <c r="AU54" s="277"/>
      <c r="AV54" s="277"/>
      <c r="AW54" s="277"/>
      <c r="AX54" s="277"/>
    </row>
    <row r="55" spans="2:50" ht="15.75">
      <c r="B55" s="5"/>
      <c r="C55" s="246" t="s">
        <v>110</v>
      </c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42"/>
      <c r="AJ55" s="114">
        <f>3357500</f>
        <v>3357500</v>
      </c>
      <c r="AK55" s="114"/>
      <c r="AL55" s="114"/>
      <c r="AM55" s="114"/>
      <c r="AN55" s="114"/>
      <c r="AO55" s="114"/>
      <c r="AP55" s="114"/>
      <c r="AQ55" s="46"/>
      <c r="AR55" s="277">
        <f>3357500</f>
        <v>3357500</v>
      </c>
      <c r="AS55" s="277"/>
      <c r="AT55" s="277"/>
      <c r="AU55" s="277"/>
      <c r="AV55" s="277"/>
      <c r="AW55" s="277"/>
      <c r="AX55" s="277"/>
    </row>
    <row r="56" spans="2:50" ht="15.75">
      <c r="B56" s="5"/>
      <c r="C56" s="246" t="s">
        <v>111</v>
      </c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42"/>
      <c r="AJ56" s="114">
        <f>6373731</f>
        <v>6373731</v>
      </c>
      <c r="AK56" s="114"/>
      <c r="AL56" s="114"/>
      <c r="AM56" s="114"/>
      <c r="AN56" s="114"/>
      <c r="AO56" s="114"/>
      <c r="AP56" s="114"/>
      <c r="AQ56" s="46"/>
      <c r="AR56" s="277">
        <f>6373731</f>
        <v>6373731</v>
      </c>
      <c r="AS56" s="277"/>
      <c r="AT56" s="277"/>
      <c r="AU56" s="277"/>
      <c r="AV56" s="277"/>
      <c r="AW56" s="277"/>
      <c r="AX56" s="277"/>
    </row>
    <row r="57" spans="2:50" ht="15.75">
      <c r="B57" s="5"/>
      <c r="C57" s="246" t="s">
        <v>112</v>
      </c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42"/>
      <c r="AJ57" s="114">
        <f>3082000</f>
        <v>3082000</v>
      </c>
      <c r="AK57" s="114"/>
      <c r="AL57" s="114"/>
      <c r="AM57" s="114"/>
      <c r="AN57" s="114"/>
      <c r="AO57" s="114"/>
      <c r="AP57" s="114"/>
      <c r="AQ57" s="46"/>
      <c r="AR57" s="277">
        <f>3082000</f>
        <v>3082000</v>
      </c>
      <c r="AS57" s="277"/>
      <c r="AT57" s="277"/>
      <c r="AU57" s="277"/>
      <c r="AV57" s="277"/>
      <c r="AW57" s="277"/>
      <c r="AX57" s="277"/>
    </row>
    <row r="58" spans="2:50" ht="15.75">
      <c r="B58" s="5"/>
      <c r="C58" s="246" t="s">
        <v>113</v>
      </c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42"/>
      <c r="AJ58" s="114">
        <f>5117000+1111219+1000000</f>
        <v>7228219</v>
      </c>
      <c r="AK58" s="114"/>
      <c r="AL58" s="114"/>
      <c r="AM58" s="114"/>
      <c r="AN58" s="114"/>
      <c r="AO58" s="114"/>
      <c r="AP58" s="114"/>
      <c r="AQ58" s="46"/>
      <c r="AR58" s="277">
        <f>5117000+1000000</f>
        <v>6117000</v>
      </c>
      <c r="AS58" s="277"/>
      <c r="AT58" s="277"/>
      <c r="AU58" s="277"/>
      <c r="AV58" s="277"/>
      <c r="AW58" s="277"/>
      <c r="AX58" s="277"/>
    </row>
    <row r="59" spans="2:50" ht="15.75">
      <c r="B59" s="5"/>
      <c r="C59" s="246" t="s">
        <v>114</v>
      </c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42"/>
      <c r="AJ59" s="114">
        <f>661403+739003</f>
        <v>1400406</v>
      </c>
      <c r="AK59" s="114"/>
      <c r="AL59" s="114"/>
      <c r="AM59" s="114"/>
      <c r="AN59" s="114"/>
      <c r="AO59" s="114"/>
      <c r="AP59" s="114"/>
      <c r="AQ59" s="46"/>
      <c r="AR59" s="277">
        <f>661403</f>
        <v>661403</v>
      </c>
      <c r="AS59" s="277"/>
      <c r="AT59" s="277"/>
      <c r="AU59" s="277"/>
      <c r="AV59" s="277"/>
      <c r="AW59" s="277"/>
      <c r="AX59" s="277"/>
    </row>
    <row r="60" spans="2:50" ht="15.75">
      <c r="B60" s="5"/>
      <c r="C60" s="246" t="s">
        <v>115</v>
      </c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42"/>
      <c r="AJ60" s="114">
        <f>5078500+1039986+4500000</f>
        <v>10618486</v>
      </c>
      <c r="AK60" s="114"/>
      <c r="AL60" s="114"/>
      <c r="AM60" s="114"/>
      <c r="AN60" s="114"/>
      <c r="AO60" s="114"/>
      <c r="AP60" s="114"/>
      <c r="AQ60" s="46"/>
      <c r="AR60" s="277">
        <f>5078500+4500000</f>
        <v>9578500</v>
      </c>
      <c r="AS60" s="277"/>
      <c r="AT60" s="277"/>
      <c r="AU60" s="277"/>
      <c r="AV60" s="277"/>
      <c r="AW60" s="277"/>
      <c r="AX60" s="277"/>
    </row>
    <row r="61" spans="2:50" ht="15.75">
      <c r="B61" s="5"/>
      <c r="C61" s="246" t="s">
        <v>116</v>
      </c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42"/>
      <c r="AJ61" s="114">
        <f>881600+726364+88000</f>
        <v>1695964</v>
      </c>
      <c r="AK61" s="114"/>
      <c r="AL61" s="114"/>
      <c r="AM61" s="114"/>
      <c r="AN61" s="114"/>
      <c r="AO61" s="114"/>
      <c r="AP61" s="114"/>
      <c r="AQ61" s="46"/>
      <c r="AR61" s="277">
        <f>881600+88000</f>
        <v>969600</v>
      </c>
      <c r="AS61" s="277"/>
      <c r="AT61" s="277"/>
      <c r="AU61" s="277"/>
      <c r="AV61" s="277"/>
      <c r="AW61" s="277"/>
      <c r="AX61" s="277"/>
    </row>
    <row r="62" spans="2:50" ht="15.75">
      <c r="B62" s="5"/>
      <c r="C62" s="246" t="s">
        <v>117</v>
      </c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42"/>
      <c r="AJ62" s="114">
        <f>1155000+1293915</f>
        <v>2448915</v>
      </c>
      <c r="AK62" s="114"/>
      <c r="AL62" s="114"/>
      <c r="AM62" s="114"/>
      <c r="AN62" s="114"/>
      <c r="AO62" s="114"/>
      <c r="AP62" s="114"/>
      <c r="AQ62" s="46"/>
      <c r="AR62" s="277">
        <f>1155000</f>
        <v>1155000</v>
      </c>
      <c r="AS62" s="277"/>
      <c r="AT62" s="277"/>
      <c r="AU62" s="277"/>
      <c r="AV62" s="277"/>
      <c r="AW62" s="277"/>
      <c r="AX62" s="277"/>
    </row>
    <row r="63" spans="2:50" ht="15.75">
      <c r="B63" s="5"/>
      <c r="C63" s="246" t="s">
        <v>118</v>
      </c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42"/>
      <c r="AJ63" s="114">
        <f>1787200+965341</f>
        <v>2752541</v>
      </c>
      <c r="AK63" s="114"/>
      <c r="AL63" s="114"/>
      <c r="AM63" s="114"/>
      <c r="AN63" s="114"/>
      <c r="AO63" s="114"/>
      <c r="AP63" s="114"/>
      <c r="AQ63" s="46"/>
      <c r="AR63" s="277">
        <f>1787200</f>
        <v>1787200</v>
      </c>
      <c r="AS63" s="277"/>
      <c r="AT63" s="277"/>
      <c r="AU63" s="277"/>
      <c r="AV63" s="277"/>
      <c r="AW63" s="277"/>
      <c r="AX63" s="277"/>
    </row>
    <row r="64" spans="2:50" ht="15.75">
      <c r="B64" s="5"/>
      <c r="C64" s="246" t="s">
        <v>119</v>
      </c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42"/>
      <c r="AJ64" s="114">
        <f>500000+583238+200000</f>
        <v>1283238</v>
      </c>
      <c r="AK64" s="114"/>
      <c r="AL64" s="114"/>
      <c r="AM64" s="114"/>
      <c r="AN64" s="114"/>
      <c r="AO64" s="114"/>
      <c r="AP64" s="114"/>
      <c r="AQ64" s="46"/>
      <c r="AR64" s="277">
        <f>500000+200000</f>
        <v>700000</v>
      </c>
      <c r="AS64" s="277"/>
      <c r="AT64" s="277"/>
      <c r="AU64" s="277"/>
      <c r="AV64" s="277"/>
      <c r="AW64" s="277"/>
      <c r="AX64" s="277"/>
    </row>
    <row r="65" spans="2:50" ht="15.75">
      <c r="B65" s="5"/>
      <c r="C65" s="246" t="s">
        <v>120</v>
      </c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42"/>
      <c r="AJ65" s="114">
        <f>5845000+6209726</f>
        <v>12054726</v>
      </c>
      <c r="AK65" s="114"/>
      <c r="AL65" s="114"/>
      <c r="AM65" s="114"/>
      <c r="AN65" s="114"/>
      <c r="AO65" s="114"/>
      <c r="AP65" s="114"/>
      <c r="AQ65" s="46"/>
      <c r="AR65" s="277">
        <f>5845000</f>
        <v>5845000</v>
      </c>
      <c r="AS65" s="277"/>
      <c r="AT65" s="277"/>
      <c r="AU65" s="277"/>
      <c r="AV65" s="277"/>
      <c r="AW65" s="277"/>
      <c r="AX65" s="277"/>
    </row>
    <row r="66" spans="2:50" ht="15.75">
      <c r="B66" s="7"/>
      <c r="C66" s="246" t="s">
        <v>121</v>
      </c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42"/>
      <c r="AJ66" s="114">
        <f>4378500+2119135+16755276</f>
        <v>23252911</v>
      </c>
      <c r="AK66" s="114"/>
      <c r="AL66" s="114"/>
      <c r="AM66" s="114"/>
      <c r="AN66" s="114"/>
      <c r="AO66" s="114"/>
      <c r="AP66" s="114"/>
      <c r="AQ66" s="46"/>
      <c r="AR66" s="277">
        <f>4378500</f>
        <v>4378500</v>
      </c>
      <c r="AS66" s="277"/>
      <c r="AT66" s="277"/>
      <c r="AU66" s="277"/>
      <c r="AV66" s="277"/>
      <c r="AW66" s="277"/>
      <c r="AX66" s="277"/>
    </row>
    <row r="67" spans="2:50" ht="15.75">
      <c r="B67" s="7"/>
      <c r="C67" s="246" t="s">
        <v>122</v>
      </c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42"/>
      <c r="AJ67" s="114">
        <f>2680242+893011+12722927</f>
        <v>16296180</v>
      </c>
      <c r="AK67" s="114"/>
      <c r="AL67" s="114"/>
      <c r="AM67" s="114"/>
      <c r="AN67" s="114"/>
      <c r="AO67" s="114"/>
      <c r="AP67" s="114"/>
      <c r="AQ67" s="46"/>
      <c r="AR67" s="277">
        <f>2680242</f>
        <v>2680242</v>
      </c>
      <c r="AS67" s="277"/>
      <c r="AT67" s="277"/>
      <c r="AU67" s="277"/>
      <c r="AV67" s="277"/>
      <c r="AW67" s="277"/>
      <c r="AX67" s="277"/>
    </row>
    <row r="68" spans="2:50" ht="15.75">
      <c r="B68" s="7"/>
      <c r="C68" s="246" t="s">
        <v>123</v>
      </c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42"/>
      <c r="AJ68" s="114">
        <f>23902000+14999494+430000</f>
        <v>39331494</v>
      </c>
      <c r="AK68" s="114"/>
      <c r="AL68" s="114"/>
      <c r="AM68" s="114"/>
      <c r="AN68" s="114"/>
      <c r="AO68" s="114"/>
      <c r="AP68" s="114"/>
      <c r="AQ68" s="46"/>
      <c r="AR68" s="277">
        <f>23902000+430000</f>
        <v>24332000</v>
      </c>
      <c r="AS68" s="277"/>
      <c r="AT68" s="277"/>
      <c r="AU68" s="277"/>
      <c r="AV68" s="277"/>
      <c r="AW68" s="277"/>
      <c r="AX68" s="277"/>
    </row>
    <row r="69" spans="2:50" ht="15.75">
      <c r="B69" s="7"/>
      <c r="C69" s="235" t="s">
        <v>124</v>
      </c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42"/>
      <c r="AJ69" s="114">
        <f>9700340+913120+9738674+8965000</f>
        <v>29317134</v>
      </c>
      <c r="AK69" s="114"/>
      <c r="AL69" s="114"/>
      <c r="AM69" s="114"/>
      <c r="AN69" s="114"/>
      <c r="AO69" s="114"/>
      <c r="AP69" s="114"/>
      <c r="AQ69" s="46"/>
      <c r="AR69" s="277">
        <f>9700340+8965000</f>
        <v>18665340</v>
      </c>
      <c r="AS69" s="277"/>
      <c r="AT69" s="277"/>
      <c r="AU69" s="277"/>
      <c r="AV69" s="277"/>
      <c r="AW69" s="277"/>
      <c r="AX69" s="277"/>
    </row>
    <row r="70" spans="2:50" ht="15.75">
      <c r="B70" s="7"/>
      <c r="C70" s="235" t="s">
        <v>125</v>
      </c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  <c r="AI70" s="42"/>
      <c r="AJ70" s="114">
        <f>3126600+224406+2448800+14254764</f>
        <v>20054570</v>
      </c>
      <c r="AK70" s="114"/>
      <c r="AL70" s="114"/>
      <c r="AM70" s="114"/>
      <c r="AN70" s="114"/>
      <c r="AO70" s="114"/>
      <c r="AP70" s="114"/>
      <c r="AQ70" s="46"/>
      <c r="AR70" s="277">
        <f>3126600</f>
        <v>3126600</v>
      </c>
      <c r="AS70" s="277"/>
      <c r="AT70" s="277"/>
      <c r="AU70" s="277"/>
      <c r="AV70" s="277"/>
      <c r="AW70" s="277"/>
      <c r="AX70" s="277"/>
    </row>
    <row r="71" spans="2:50" ht="15.75">
      <c r="B71" s="7"/>
      <c r="C71" s="235" t="s">
        <v>126</v>
      </c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42"/>
      <c r="AJ71" s="114">
        <f>575672+2703578</f>
        <v>3279250</v>
      </c>
      <c r="AK71" s="114"/>
      <c r="AL71" s="114"/>
      <c r="AM71" s="114"/>
      <c r="AN71" s="114"/>
      <c r="AO71" s="114"/>
      <c r="AP71" s="114"/>
      <c r="AQ71" s="46"/>
      <c r="AR71" s="277">
        <f>575672</f>
        <v>575672</v>
      </c>
      <c r="AS71" s="277"/>
      <c r="AT71" s="277"/>
      <c r="AU71" s="277"/>
      <c r="AV71" s="277"/>
      <c r="AW71" s="277"/>
      <c r="AX71" s="277"/>
    </row>
    <row r="72" spans="2:50" ht="15.75">
      <c r="B72" s="7"/>
      <c r="C72" s="235" t="s">
        <v>127</v>
      </c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35"/>
      <c r="AH72" s="235"/>
      <c r="AI72" s="42"/>
      <c r="AJ72" s="114">
        <f>278475+2074744</f>
        <v>2353219</v>
      </c>
      <c r="AK72" s="114"/>
      <c r="AL72" s="114"/>
      <c r="AM72" s="114"/>
      <c r="AN72" s="114"/>
      <c r="AO72" s="114"/>
      <c r="AP72" s="114"/>
      <c r="AQ72" s="46"/>
      <c r="AR72" s="277">
        <f>278475</f>
        <v>278475</v>
      </c>
      <c r="AS72" s="277"/>
      <c r="AT72" s="277"/>
      <c r="AU72" s="277"/>
      <c r="AV72" s="277"/>
      <c r="AW72" s="277"/>
      <c r="AX72" s="277"/>
    </row>
    <row r="73" spans="2:50" ht="15.75">
      <c r="B73" s="7"/>
      <c r="C73" s="235" t="s">
        <v>128</v>
      </c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  <c r="AA73" s="235"/>
      <c r="AB73" s="235"/>
      <c r="AC73" s="235"/>
      <c r="AD73" s="235"/>
      <c r="AE73" s="235"/>
      <c r="AF73" s="235"/>
      <c r="AG73" s="235"/>
      <c r="AH73" s="235"/>
      <c r="AI73" s="42"/>
      <c r="AJ73" s="114">
        <f>1000000+1959100+3171914+200000</f>
        <v>6331014</v>
      </c>
      <c r="AK73" s="114"/>
      <c r="AL73" s="114"/>
      <c r="AM73" s="114"/>
      <c r="AN73" s="114"/>
      <c r="AO73" s="114"/>
      <c r="AP73" s="114"/>
      <c r="AQ73" s="46"/>
      <c r="AR73" s="277">
        <f>1000000+200000</f>
        <v>1200000</v>
      </c>
      <c r="AS73" s="277"/>
      <c r="AT73" s="277"/>
      <c r="AU73" s="277"/>
      <c r="AV73" s="277"/>
      <c r="AW73" s="277"/>
      <c r="AX73" s="277"/>
    </row>
    <row r="74" spans="2:50" ht="15.75">
      <c r="B74" s="7"/>
      <c r="C74" s="235" t="s">
        <v>129</v>
      </c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5"/>
      <c r="AH74" s="235"/>
      <c r="AI74" s="42"/>
      <c r="AJ74" s="114">
        <f>77000000+5426255+63000000</f>
        <v>145426255</v>
      </c>
      <c r="AK74" s="114"/>
      <c r="AL74" s="114"/>
      <c r="AM74" s="114"/>
      <c r="AN74" s="114"/>
      <c r="AO74" s="114"/>
      <c r="AP74" s="114"/>
      <c r="AQ74" s="46"/>
      <c r="AR74" s="277">
        <f>77000000+63000000</f>
        <v>140000000</v>
      </c>
      <c r="AS74" s="277"/>
      <c r="AT74" s="277"/>
      <c r="AU74" s="277"/>
      <c r="AV74" s="277"/>
      <c r="AW74" s="277"/>
      <c r="AX74" s="277"/>
    </row>
    <row r="75" spans="2:50" ht="15.75">
      <c r="B75" s="7"/>
      <c r="C75" s="235" t="s">
        <v>130</v>
      </c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35"/>
      <c r="AB75" s="235"/>
      <c r="AC75" s="235"/>
      <c r="AD75" s="235"/>
      <c r="AE75" s="235"/>
      <c r="AF75" s="235"/>
      <c r="AG75" s="235"/>
      <c r="AH75" s="235"/>
      <c r="AI75" s="42"/>
      <c r="AJ75" s="114">
        <f>29125000+3366887+2500000</f>
        <v>34991887</v>
      </c>
      <c r="AK75" s="114"/>
      <c r="AL75" s="114"/>
      <c r="AM75" s="114"/>
      <c r="AN75" s="114"/>
      <c r="AO75" s="114"/>
      <c r="AP75" s="114"/>
      <c r="AQ75" s="46"/>
      <c r="AR75" s="277">
        <f>29125000+2500000</f>
        <v>31625000</v>
      </c>
      <c r="AS75" s="277"/>
      <c r="AT75" s="277"/>
      <c r="AU75" s="277"/>
      <c r="AV75" s="277"/>
      <c r="AW75" s="277"/>
      <c r="AX75" s="277"/>
    </row>
    <row r="76" spans="2:50" ht="15.75">
      <c r="B76" s="7"/>
      <c r="C76" s="235" t="s">
        <v>131</v>
      </c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42"/>
      <c r="AJ76" s="114">
        <f>176443000+7004000</f>
        <v>183447000</v>
      </c>
      <c r="AK76" s="114"/>
      <c r="AL76" s="114"/>
      <c r="AM76" s="114"/>
      <c r="AN76" s="114"/>
      <c r="AO76" s="114"/>
      <c r="AP76" s="114"/>
      <c r="AQ76" s="46"/>
      <c r="AR76" s="277">
        <f>176443000+7004000</f>
        <v>183447000</v>
      </c>
      <c r="AS76" s="277"/>
      <c r="AT76" s="277"/>
      <c r="AU76" s="277"/>
      <c r="AV76" s="277"/>
      <c r="AW76" s="277"/>
      <c r="AX76" s="277"/>
    </row>
    <row r="77" spans="2:50" ht="15.75">
      <c r="B77" s="7"/>
      <c r="C77" s="235" t="s">
        <v>132</v>
      </c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42"/>
      <c r="AJ77" s="114">
        <f>15000000+1000000</f>
        <v>16000000</v>
      </c>
      <c r="AK77" s="114"/>
      <c r="AL77" s="114"/>
      <c r="AM77" s="114"/>
      <c r="AN77" s="114"/>
      <c r="AO77" s="114"/>
      <c r="AP77" s="114"/>
      <c r="AQ77" s="46"/>
      <c r="AR77" s="277">
        <f>15000000+1000000</f>
        <v>16000000</v>
      </c>
      <c r="AS77" s="277"/>
      <c r="AT77" s="277"/>
      <c r="AU77" s="277"/>
      <c r="AV77" s="277"/>
      <c r="AW77" s="277"/>
      <c r="AX77" s="277"/>
    </row>
    <row r="78" spans="2:50" ht="15.75">
      <c r="B78" s="7"/>
      <c r="C78" s="235" t="s">
        <v>133</v>
      </c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42"/>
      <c r="AJ78" s="114">
        <f>21632400</f>
        <v>21632400</v>
      </c>
      <c r="AK78" s="114"/>
      <c r="AL78" s="114"/>
      <c r="AM78" s="114"/>
      <c r="AN78" s="114"/>
      <c r="AO78" s="114"/>
      <c r="AP78" s="114"/>
      <c r="AQ78" s="46"/>
      <c r="AR78" s="277">
        <f>21632400</f>
        <v>21632400</v>
      </c>
      <c r="AS78" s="277"/>
      <c r="AT78" s="277"/>
      <c r="AU78" s="277"/>
      <c r="AV78" s="277"/>
      <c r="AW78" s="277"/>
      <c r="AX78" s="277"/>
    </row>
    <row r="79" spans="2:50" ht="15.75">
      <c r="B79" s="7"/>
      <c r="C79" s="235" t="s">
        <v>134</v>
      </c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35"/>
      <c r="AB79" s="235"/>
      <c r="AC79" s="235"/>
      <c r="AD79" s="235"/>
      <c r="AE79" s="235"/>
      <c r="AF79" s="235"/>
      <c r="AG79" s="235"/>
      <c r="AH79" s="235"/>
      <c r="AI79" s="42"/>
      <c r="AJ79" s="114">
        <f>6260000+200000</f>
        <v>6460000</v>
      </c>
      <c r="AK79" s="114"/>
      <c r="AL79" s="114"/>
      <c r="AM79" s="114"/>
      <c r="AN79" s="114"/>
      <c r="AO79" s="114"/>
      <c r="AP79" s="114"/>
      <c r="AQ79" s="46"/>
      <c r="AR79" s="277">
        <f>6260000+200000</f>
        <v>6460000</v>
      </c>
      <c r="AS79" s="277"/>
      <c r="AT79" s="277"/>
      <c r="AU79" s="277"/>
      <c r="AV79" s="277"/>
      <c r="AW79" s="277"/>
      <c r="AX79" s="277"/>
    </row>
    <row r="80" spans="2:50" ht="15.75">
      <c r="B80" s="7"/>
      <c r="C80" s="235" t="s">
        <v>135</v>
      </c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42"/>
      <c r="AJ80" s="114">
        <f>13300000</f>
        <v>13300000</v>
      </c>
      <c r="AK80" s="114"/>
      <c r="AL80" s="114"/>
      <c r="AM80" s="114"/>
      <c r="AN80" s="114"/>
      <c r="AO80" s="114"/>
      <c r="AP80" s="114"/>
      <c r="AQ80" s="46"/>
      <c r="AR80" s="277">
        <f>13300000</f>
        <v>13300000</v>
      </c>
      <c r="AS80" s="277"/>
      <c r="AT80" s="277"/>
      <c r="AU80" s="277"/>
      <c r="AV80" s="277"/>
      <c r="AW80" s="277"/>
      <c r="AX80" s="277"/>
    </row>
    <row r="81" spans="2:50" ht="15.75">
      <c r="B81" s="7"/>
      <c r="C81" s="235" t="s">
        <v>136</v>
      </c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42"/>
      <c r="AJ81" s="114">
        <f>32965000</f>
        <v>32965000</v>
      </c>
      <c r="AK81" s="114"/>
      <c r="AL81" s="114"/>
      <c r="AM81" s="114"/>
      <c r="AN81" s="114"/>
      <c r="AO81" s="114"/>
      <c r="AP81" s="114"/>
      <c r="AQ81" s="46"/>
      <c r="AR81" s="277">
        <f>32965000</f>
        <v>32965000</v>
      </c>
      <c r="AS81" s="277"/>
      <c r="AT81" s="277"/>
      <c r="AU81" s="277"/>
      <c r="AV81" s="277"/>
      <c r="AW81" s="277"/>
      <c r="AX81" s="277"/>
    </row>
    <row r="82" spans="2:50" ht="15.75">
      <c r="B82" s="7"/>
      <c r="C82" s="235" t="s">
        <v>137</v>
      </c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42"/>
      <c r="AJ82" s="114">
        <f>3689700+1959100</f>
        <v>5648800</v>
      </c>
      <c r="AK82" s="114"/>
      <c r="AL82" s="114"/>
      <c r="AM82" s="114"/>
      <c r="AN82" s="114"/>
      <c r="AO82" s="114"/>
      <c r="AP82" s="114"/>
      <c r="AQ82" s="46"/>
      <c r="AR82" s="277">
        <f>3689700</f>
        <v>3689700</v>
      </c>
      <c r="AS82" s="277"/>
      <c r="AT82" s="277"/>
      <c r="AU82" s="277"/>
      <c r="AV82" s="277"/>
      <c r="AW82" s="277"/>
      <c r="AX82" s="277"/>
    </row>
    <row r="83" spans="2:50" ht="15.75">
      <c r="B83" s="7"/>
      <c r="C83" s="235" t="s">
        <v>138</v>
      </c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  <c r="AI83" s="42"/>
      <c r="AJ83" s="114">
        <v>20000000</v>
      </c>
      <c r="AK83" s="114"/>
      <c r="AL83" s="114"/>
      <c r="AM83" s="114"/>
      <c r="AN83" s="114"/>
      <c r="AO83" s="114"/>
      <c r="AP83" s="114"/>
      <c r="AQ83" s="46"/>
      <c r="AR83" s="277">
        <v>20000000</v>
      </c>
      <c r="AS83" s="277"/>
      <c r="AT83" s="277"/>
      <c r="AU83" s="277"/>
      <c r="AV83" s="277"/>
      <c r="AW83" s="277"/>
      <c r="AX83" s="277"/>
    </row>
    <row r="84" spans="2:50" ht="30.75" customHeight="1">
      <c r="B84" s="7"/>
      <c r="C84" s="235" t="s">
        <v>139</v>
      </c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5"/>
      <c r="AH84" s="235"/>
      <c r="AI84" s="44"/>
      <c r="AJ84" s="114">
        <f>8100000+68875+260163+900000</f>
        <v>9329038</v>
      </c>
      <c r="AK84" s="114"/>
      <c r="AL84" s="114"/>
      <c r="AM84" s="114"/>
      <c r="AN84" s="114"/>
      <c r="AO84" s="114"/>
      <c r="AP84" s="114"/>
      <c r="AQ84" s="46"/>
      <c r="AR84" s="277">
        <f>8100000+900000</f>
        <v>9000000</v>
      </c>
      <c r="AS84" s="277"/>
      <c r="AT84" s="277"/>
      <c r="AU84" s="277"/>
      <c r="AV84" s="277"/>
      <c r="AW84" s="277"/>
      <c r="AX84" s="277"/>
    </row>
    <row r="85" spans="2:50" ht="15.75">
      <c r="B85" s="7"/>
      <c r="C85" s="235" t="s">
        <v>140</v>
      </c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42"/>
      <c r="AJ85" s="114">
        <f>13153502+1223458+2500000</f>
        <v>16876960</v>
      </c>
      <c r="AK85" s="114"/>
      <c r="AL85" s="114"/>
      <c r="AM85" s="114"/>
      <c r="AN85" s="114"/>
      <c r="AO85" s="114"/>
      <c r="AP85" s="114"/>
      <c r="AQ85" s="46"/>
      <c r="AR85" s="277">
        <f>13153502+2500000</f>
        <v>15653502</v>
      </c>
      <c r="AS85" s="277"/>
      <c r="AT85" s="277"/>
      <c r="AU85" s="277"/>
      <c r="AV85" s="277"/>
      <c r="AW85" s="277"/>
      <c r="AX85" s="277"/>
    </row>
    <row r="86" spans="2:50" ht="15.75">
      <c r="B86" s="7"/>
      <c r="C86" s="235" t="s">
        <v>141</v>
      </c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35"/>
      <c r="AE86" s="235"/>
      <c r="AF86" s="235"/>
      <c r="AG86" s="235"/>
      <c r="AH86" s="235"/>
      <c r="AI86" s="42"/>
      <c r="AJ86" s="114">
        <f>6344219+1500000</f>
        <v>7844219</v>
      </c>
      <c r="AK86" s="114"/>
      <c r="AL86" s="114"/>
      <c r="AM86" s="114"/>
      <c r="AN86" s="114"/>
      <c r="AO86" s="114"/>
      <c r="AP86" s="114"/>
      <c r="AQ86" s="46"/>
      <c r="AR86" s="277">
        <f>6344219+1500000</f>
        <v>7844219</v>
      </c>
      <c r="AS86" s="277"/>
      <c r="AT86" s="277"/>
      <c r="AU86" s="277"/>
      <c r="AV86" s="277"/>
      <c r="AW86" s="277"/>
      <c r="AX86" s="277"/>
    </row>
    <row r="87" spans="2:50" ht="15.75">
      <c r="B87" s="7"/>
      <c r="C87" s="235" t="s">
        <v>142</v>
      </c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  <c r="AC87" s="235"/>
      <c r="AD87" s="235"/>
      <c r="AE87" s="235"/>
      <c r="AF87" s="235"/>
      <c r="AG87" s="235"/>
      <c r="AH87" s="235"/>
      <c r="AI87" s="42"/>
      <c r="AJ87" s="114">
        <v>11310000</v>
      </c>
      <c r="AK87" s="114"/>
      <c r="AL87" s="114"/>
      <c r="AM87" s="114"/>
      <c r="AN87" s="114"/>
      <c r="AO87" s="114"/>
      <c r="AP87" s="114"/>
      <c r="AQ87" s="46"/>
      <c r="AR87" s="277">
        <v>11310000</v>
      </c>
      <c r="AS87" s="277"/>
      <c r="AT87" s="277"/>
      <c r="AU87" s="277"/>
      <c r="AV87" s="277"/>
      <c r="AW87" s="277"/>
      <c r="AX87" s="277"/>
    </row>
    <row r="88" spans="2:50" ht="15.75">
      <c r="B88" s="7"/>
      <c r="C88" s="235" t="s">
        <v>143</v>
      </c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5"/>
      <c r="AH88" s="235"/>
      <c r="AI88" s="42"/>
      <c r="AJ88" s="114">
        <f>86644500</f>
        <v>86644500</v>
      </c>
      <c r="AK88" s="114"/>
      <c r="AL88" s="114"/>
      <c r="AM88" s="114"/>
      <c r="AN88" s="114"/>
      <c r="AO88" s="114"/>
      <c r="AP88" s="114"/>
      <c r="AQ88" s="46"/>
      <c r="AR88" s="277">
        <f>86644500</f>
        <v>86644500</v>
      </c>
      <c r="AS88" s="277"/>
      <c r="AT88" s="277"/>
      <c r="AU88" s="277"/>
      <c r="AV88" s="277"/>
      <c r="AW88" s="277"/>
      <c r="AX88" s="277"/>
    </row>
    <row r="89" spans="2:50" ht="15.75">
      <c r="B89" s="7"/>
      <c r="C89" s="235" t="s">
        <v>144</v>
      </c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42"/>
      <c r="AJ89" s="114">
        <f>2182428</f>
        <v>2182428</v>
      </c>
      <c r="AK89" s="114"/>
      <c r="AL89" s="114"/>
      <c r="AM89" s="114"/>
      <c r="AN89" s="114"/>
      <c r="AO89" s="114"/>
      <c r="AP89" s="114"/>
      <c r="AQ89" s="46"/>
      <c r="AR89" s="277">
        <f>2182428</f>
        <v>2182428</v>
      </c>
      <c r="AS89" s="277"/>
      <c r="AT89" s="277"/>
      <c r="AU89" s="277"/>
      <c r="AV89" s="277"/>
      <c r="AW89" s="277"/>
      <c r="AX89" s="277"/>
    </row>
    <row r="90" spans="2:50" ht="29.25" customHeight="1">
      <c r="B90" s="7"/>
      <c r="C90" s="278" t="s">
        <v>145</v>
      </c>
      <c r="D90" s="278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  <c r="AA90" s="278"/>
      <c r="AB90" s="278"/>
      <c r="AC90" s="278"/>
      <c r="AD90" s="278"/>
      <c r="AE90" s="278"/>
      <c r="AF90" s="278"/>
      <c r="AG90" s="278"/>
      <c r="AH90" s="278"/>
      <c r="AI90" s="45"/>
      <c r="AJ90" s="114">
        <f>15290600+10000</f>
        <v>15300600</v>
      </c>
      <c r="AK90" s="114"/>
      <c r="AL90" s="114"/>
      <c r="AM90" s="114"/>
      <c r="AN90" s="114"/>
      <c r="AO90" s="114"/>
      <c r="AP90" s="114"/>
      <c r="AQ90" s="46"/>
      <c r="AR90" s="277">
        <f>15290600+10000</f>
        <v>15300600</v>
      </c>
      <c r="AS90" s="277"/>
      <c r="AT90" s="277"/>
      <c r="AU90" s="277"/>
      <c r="AV90" s="277"/>
      <c r="AW90" s="277"/>
      <c r="AX90" s="277"/>
    </row>
    <row r="91" spans="2:50" ht="15.75" hidden="1">
      <c r="B91" s="7"/>
      <c r="C91" s="235" t="s">
        <v>5</v>
      </c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42"/>
      <c r="AJ91" s="114"/>
      <c r="AK91" s="114"/>
      <c r="AL91" s="114"/>
      <c r="AM91" s="114"/>
      <c r="AN91" s="114"/>
      <c r="AO91" s="114"/>
      <c r="AP91" s="114"/>
      <c r="AQ91" s="46"/>
      <c r="AR91" s="277"/>
      <c r="AS91" s="277"/>
      <c r="AT91" s="277"/>
      <c r="AU91" s="277"/>
      <c r="AV91" s="277"/>
      <c r="AW91" s="277"/>
      <c r="AX91" s="277"/>
    </row>
    <row r="92" spans="2:50" ht="30.75" customHeight="1">
      <c r="B92" s="7"/>
      <c r="C92" s="235" t="s">
        <v>146</v>
      </c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35"/>
      <c r="AH92" s="235"/>
      <c r="AI92" s="44"/>
      <c r="AJ92" s="114">
        <v>2968900</v>
      </c>
      <c r="AK92" s="114"/>
      <c r="AL92" s="114"/>
      <c r="AM92" s="114"/>
      <c r="AN92" s="114"/>
      <c r="AO92" s="114"/>
      <c r="AP92" s="114"/>
      <c r="AQ92" s="46"/>
      <c r="AR92" s="277">
        <v>2968900</v>
      </c>
      <c r="AS92" s="277"/>
      <c r="AT92" s="277"/>
      <c r="AU92" s="277"/>
      <c r="AV92" s="277"/>
      <c r="AW92" s="277"/>
      <c r="AX92" s="277"/>
    </row>
    <row r="93" spans="2:50" ht="15.75" hidden="1">
      <c r="B93" s="7"/>
      <c r="C93" s="235" t="s">
        <v>6</v>
      </c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  <c r="AE93" s="235"/>
      <c r="AF93" s="235"/>
      <c r="AG93" s="235"/>
      <c r="AH93" s="235"/>
      <c r="AI93" s="42"/>
      <c r="AJ93" s="114"/>
      <c r="AK93" s="114"/>
      <c r="AL93" s="114"/>
      <c r="AM93" s="114"/>
      <c r="AN93" s="114"/>
      <c r="AO93" s="114"/>
      <c r="AP93" s="114"/>
      <c r="AQ93" s="46"/>
      <c r="AR93" s="277"/>
      <c r="AS93" s="277"/>
      <c r="AT93" s="277"/>
      <c r="AU93" s="277"/>
      <c r="AV93" s="277"/>
      <c r="AW93" s="277"/>
      <c r="AX93" s="277"/>
    </row>
    <row r="94" spans="2:50" ht="15.75">
      <c r="B94" s="7"/>
      <c r="C94" s="235" t="s">
        <v>147</v>
      </c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235"/>
      <c r="U94" s="235"/>
      <c r="V94" s="235"/>
      <c r="W94" s="235"/>
      <c r="X94" s="235"/>
      <c r="Y94" s="235"/>
      <c r="Z94" s="235"/>
      <c r="AA94" s="235"/>
      <c r="AB94" s="235"/>
      <c r="AC94" s="235"/>
      <c r="AD94" s="235"/>
      <c r="AE94" s="235"/>
      <c r="AF94" s="235"/>
      <c r="AG94" s="235"/>
      <c r="AH94" s="235"/>
      <c r="AI94" s="42"/>
      <c r="AJ94" s="114">
        <f>3823220+8482975+2715154</f>
        <v>15021349</v>
      </c>
      <c r="AK94" s="114"/>
      <c r="AL94" s="114"/>
      <c r="AM94" s="114"/>
      <c r="AN94" s="114"/>
      <c r="AO94" s="114"/>
      <c r="AP94" s="114"/>
      <c r="AQ94" s="46"/>
      <c r="AR94" s="277">
        <f>3823220</f>
        <v>3823220</v>
      </c>
      <c r="AS94" s="277"/>
      <c r="AT94" s="277"/>
      <c r="AU94" s="277"/>
      <c r="AV94" s="277"/>
      <c r="AW94" s="277"/>
      <c r="AX94" s="277"/>
    </row>
    <row r="95" spans="2:50" ht="15.75">
      <c r="B95" s="7"/>
      <c r="C95" s="235" t="s">
        <v>148</v>
      </c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5"/>
      <c r="AH95" s="235"/>
      <c r="AI95" s="42"/>
      <c r="AJ95" s="114">
        <f>1750000+417050+50000</f>
        <v>2217050</v>
      </c>
      <c r="AK95" s="114"/>
      <c r="AL95" s="114"/>
      <c r="AM95" s="114"/>
      <c r="AN95" s="114"/>
      <c r="AO95" s="114"/>
      <c r="AP95" s="114"/>
      <c r="AQ95" s="46"/>
      <c r="AR95" s="277">
        <f>1750000+50000</f>
        <v>1800000</v>
      </c>
      <c r="AS95" s="277"/>
      <c r="AT95" s="277"/>
      <c r="AU95" s="277"/>
      <c r="AV95" s="277"/>
      <c r="AW95" s="277"/>
      <c r="AX95" s="277"/>
    </row>
    <row r="96" spans="2:50" ht="15.75">
      <c r="B96" s="6"/>
      <c r="C96" s="235" t="s">
        <v>149</v>
      </c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  <c r="AI96" s="42"/>
      <c r="AJ96" s="114">
        <f>7619500+151061+500000</f>
        <v>8270561</v>
      </c>
      <c r="AK96" s="114"/>
      <c r="AL96" s="114"/>
      <c r="AM96" s="114"/>
      <c r="AN96" s="114"/>
      <c r="AO96" s="114"/>
      <c r="AP96" s="114"/>
      <c r="AQ96" s="46"/>
      <c r="AR96" s="277">
        <f>7619500+500000</f>
        <v>8119500</v>
      </c>
      <c r="AS96" s="277"/>
      <c r="AT96" s="277"/>
      <c r="AU96" s="277"/>
      <c r="AV96" s="277"/>
      <c r="AW96" s="277"/>
      <c r="AX96" s="277"/>
    </row>
    <row r="97" spans="2:50" ht="15.75">
      <c r="B97" s="7"/>
      <c r="C97" s="235" t="s">
        <v>150</v>
      </c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5"/>
      <c r="AH97" s="235"/>
      <c r="AI97" s="42"/>
      <c r="AJ97" s="114">
        <f>1007672+2000000</f>
        <v>3007672</v>
      </c>
      <c r="AK97" s="114"/>
      <c r="AL97" s="114"/>
      <c r="AM97" s="114"/>
      <c r="AN97" s="114"/>
      <c r="AO97" s="114"/>
      <c r="AP97" s="114"/>
      <c r="AQ97" s="46"/>
      <c r="AR97" s="277">
        <f>1007672+2000000</f>
        <v>3007672</v>
      </c>
      <c r="AS97" s="277"/>
      <c r="AT97" s="277"/>
      <c r="AU97" s="277"/>
      <c r="AV97" s="277"/>
      <c r="AW97" s="277"/>
      <c r="AX97" s="277"/>
    </row>
    <row r="98" spans="2:50" ht="15.75">
      <c r="B98" s="7"/>
      <c r="C98" s="235" t="s">
        <v>151</v>
      </c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5"/>
      <c r="AH98" s="235"/>
      <c r="AI98" s="42"/>
      <c r="AJ98" s="114">
        <f>29000000+3589553+1000000</f>
        <v>33589553</v>
      </c>
      <c r="AK98" s="114"/>
      <c r="AL98" s="114"/>
      <c r="AM98" s="114"/>
      <c r="AN98" s="114"/>
      <c r="AO98" s="114"/>
      <c r="AP98" s="114"/>
      <c r="AQ98" s="46"/>
      <c r="AR98" s="277">
        <f>29000000+1000000</f>
        <v>30000000</v>
      </c>
      <c r="AS98" s="277"/>
      <c r="AT98" s="277"/>
      <c r="AU98" s="277"/>
      <c r="AV98" s="277"/>
      <c r="AW98" s="277"/>
      <c r="AX98" s="277"/>
    </row>
    <row r="99" spans="2:50" ht="15.75">
      <c r="B99" s="7"/>
      <c r="C99" s="235" t="s">
        <v>152</v>
      </c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5"/>
      <c r="AH99" s="235"/>
      <c r="AI99" s="42"/>
      <c r="AJ99" s="114">
        <f>520350+534056+1340650</f>
        <v>2395056</v>
      </c>
      <c r="AK99" s="114"/>
      <c r="AL99" s="114"/>
      <c r="AM99" s="114"/>
      <c r="AN99" s="114"/>
      <c r="AO99" s="114"/>
      <c r="AP99" s="114"/>
      <c r="AQ99" s="46"/>
      <c r="AR99" s="277">
        <f>520350+1340650</f>
        <v>1861000</v>
      </c>
      <c r="AS99" s="277"/>
      <c r="AT99" s="277"/>
      <c r="AU99" s="277"/>
      <c r="AV99" s="277"/>
      <c r="AW99" s="277"/>
      <c r="AX99" s="277"/>
    </row>
    <row r="100" spans="2:50" ht="15.75">
      <c r="B100" s="7"/>
      <c r="C100" s="235" t="s">
        <v>153</v>
      </c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/>
      <c r="S100" s="235"/>
      <c r="T100" s="235"/>
      <c r="U100" s="235"/>
      <c r="V100" s="235"/>
      <c r="W100" s="235"/>
      <c r="X100" s="235"/>
      <c r="Y100" s="235"/>
      <c r="Z100" s="235"/>
      <c r="AA100" s="235"/>
      <c r="AB100" s="235"/>
      <c r="AC100" s="235"/>
      <c r="AD100" s="235"/>
      <c r="AE100" s="235"/>
      <c r="AF100" s="235"/>
      <c r="AG100" s="235"/>
      <c r="AH100" s="235"/>
      <c r="AI100" s="42"/>
      <c r="AJ100" s="114">
        <v>3421300</v>
      </c>
      <c r="AK100" s="114"/>
      <c r="AL100" s="114"/>
      <c r="AM100" s="114"/>
      <c r="AN100" s="114"/>
      <c r="AO100" s="114"/>
      <c r="AP100" s="114"/>
      <c r="AQ100" s="46"/>
      <c r="AR100" s="277">
        <v>3421300</v>
      </c>
      <c r="AS100" s="277"/>
      <c r="AT100" s="277"/>
      <c r="AU100" s="277"/>
      <c r="AV100" s="277"/>
      <c r="AW100" s="277"/>
      <c r="AX100" s="277"/>
    </row>
    <row r="101" spans="2:50" ht="15.75">
      <c r="B101" s="7"/>
      <c r="C101" s="235" t="s">
        <v>154</v>
      </c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  <c r="R101" s="235"/>
      <c r="S101" s="235"/>
      <c r="T101" s="235"/>
      <c r="U101" s="235"/>
      <c r="V101" s="235"/>
      <c r="W101" s="235"/>
      <c r="X101" s="235"/>
      <c r="Y101" s="235"/>
      <c r="Z101" s="235"/>
      <c r="AA101" s="235"/>
      <c r="AB101" s="235"/>
      <c r="AC101" s="235"/>
      <c r="AD101" s="235"/>
      <c r="AE101" s="235"/>
      <c r="AF101" s="235"/>
      <c r="AG101" s="235"/>
      <c r="AH101" s="235"/>
      <c r="AI101" s="42"/>
      <c r="AJ101" s="114">
        <f>500000+4360109+30000</f>
        <v>4890109</v>
      </c>
      <c r="AK101" s="114"/>
      <c r="AL101" s="114"/>
      <c r="AM101" s="114"/>
      <c r="AN101" s="114"/>
      <c r="AO101" s="114"/>
      <c r="AP101" s="114"/>
      <c r="AQ101" s="46"/>
      <c r="AR101" s="277">
        <f>500000+30000</f>
        <v>530000</v>
      </c>
      <c r="AS101" s="277"/>
      <c r="AT101" s="277"/>
      <c r="AU101" s="277"/>
      <c r="AV101" s="277"/>
      <c r="AW101" s="277"/>
      <c r="AX101" s="277"/>
    </row>
    <row r="102" spans="2:50" ht="15.75">
      <c r="B102" s="7"/>
      <c r="C102" s="235" t="s">
        <v>155</v>
      </c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  <c r="R102" s="235"/>
      <c r="S102" s="235"/>
      <c r="T102" s="235"/>
      <c r="U102" s="235"/>
      <c r="V102" s="235"/>
      <c r="W102" s="235"/>
      <c r="X102" s="235"/>
      <c r="Y102" s="235"/>
      <c r="Z102" s="235"/>
      <c r="AA102" s="235"/>
      <c r="AB102" s="235"/>
      <c r="AC102" s="235"/>
      <c r="AD102" s="235"/>
      <c r="AE102" s="235"/>
      <c r="AF102" s="235"/>
      <c r="AG102" s="235"/>
      <c r="AH102" s="235"/>
      <c r="AI102" s="42"/>
      <c r="AJ102" s="114">
        <f>10703000+7808926+475000</f>
        <v>18986926</v>
      </c>
      <c r="AK102" s="114"/>
      <c r="AL102" s="114"/>
      <c r="AM102" s="114"/>
      <c r="AN102" s="114"/>
      <c r="AO102" s="114"/>
      <c r="AP102" s="114"/>
      <c r="AQ102" s="46"/>
      <c r="AR102" s="277">
        <f>10703000+475000</f>
        <v>11178000</v>
      </c>
      <c r="AS102" s="277"/>
      <c r="AT102" s="277"/>
      <c r="AU102" s="277"/>
      <c r="AV102" s="277"/>
      <c r="AW102" s="277"/>
      <c r="AX102" s="277"/>
    </row>
    <row r="103" spans="2:50" ht="15.75">
      <c r="B103" s="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2"/>
      <c r="AJ103" s="277"/>
      <c r="AK103" s="277"/>
      <c r="AL103" s="277"/>
      <c r="AM103" s="277"/>
      <c r="AN103" s="277"/>
      <c r="AO103" s="277"/>
      <c r="AP103" s="277"/>
      <c r="AQ103" s="46"/>
      <c r="AR103" s="277"/>
      <c r="AS103" s="277"/>
      <c r="AT103" s="277"/>
      <c r="AU103" s="277"/>
      <c r="AV103" s="277"/>
      <c r="AW103" s="277"/>
      <c r="AX103" s="277"/>
    </row>
    <row r="104" ht="18.75">
      <c r="A104" s="16" t="s">
        <v>156</v>
      </c>
    </row>
    <row r="105" spans="1:50" ht="31.5" customHeight="1">
      <c r="A105" s="268" t="s">
        <v>157</v>
      </c>
      <c r="B105" s="268"/>
      <c r="C105" s="268"/>
      <c r="D105" s="268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268"/>
      <c r="Z105" s="268"/>
      <c r="AA105" s="268"/>
      <c r="AB105" s="268"/>
      <c r="AC105" s="268"/>
      <c r="AD105" s="268"/>
      <c r="AE105" s="268"/>
      <c r="AF105" s="268"/>
      <c r="AG105" s="268"/>
      <c r="AH105" s="268"/>
      <c r="AI105" s="268"/>
      <c r="AJ105" s="268"/>
      <c r="AK105" s="268"/>
      <c r="AL105" s="268"/>
      <c r="AM105" s="268"/>
      <c r="AN105" s="268"/>
      <c r="AO105" s="268"/>
      <c r="AP105" s="268"/>
      <c r="AQ105" s="268"/>
      <c r="AR105" s="268"/>
      <c r="AS105" s="268"/>
      <c r="AT105" s="268"/>
      <c r="AU105" s="268"/>
      <c r="AV105" s="268"/>
      <c r="AW105" s="268"/>
      <c r="AX105" s="268"/>
    </row>
    <row r="106" ht="10.5" customHeight="1">
      <c r="A106" s="15"/>
    </row>
    <row r="107" ht="15.75">
      <c r="A107" s="17" t="s">
        <v>25</v>
      </c>
    </row>
    <row r="108" ht="10.5" customHeight="1"/>
    <row r="109" spans="2:50" s="68" customFormat="1" ht="19.5" customHeight="1">
      <c r="B109" s="253" t="s">
        <v>20</v>
      </c>
      <c r="C109" s="253"/>
      <c r="D109" s="253"/>
      <c r="E109" s="253"/>
      <c r="F109" s="253"/>
      <c r="G109" s="253"/>
      <c r="H109" s="253"/>
      <c r="I109" s="253"/>
      <c r="J109" s="249" t="s">
        <v>26</v>
      </c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4" t="s">
        <v>30</v>
      </c>
      <c r="W109" s="244"/>
      <c r="X109" s="244"/>
      <c r="Y109" s="244"/>
      <c r="Z109" s="244"/>
      <c r="AA109" s="244"/>
      <c r="AB109" s="244" t="s">
        <v>31</v>
      </c>
      <c r="AC109" s="244"/>
      <c r="AD109" s="244"/>
      <c r="AE109" s="244"/>
      <c r="AF109" s="244"/>
      <c r="AG109" s="244"/>
      <c r="AH109" s="244" t="s">
        <v>32</v>
      </c>
      <c r="AI109" s="244"/>
      <c r="AJ109" s="244"/>
      <c r="AK109" s="244"/>
      <c r="AL109" s="253" t="s">
        <v>33</v>
      </c>
      <c r="AM109" s="253"/>
      <c r="AN109" s="253"/>
      <c r="AO109" s="256" t="s">
        <v>34</v>
      </c>
      <c r="AP109" s="256"/>
      <c r="AQ109" s="256"/>
      <c r="AR109" s="256"/>
      <c r="AS109" s="256"/>
      <c r="AT109" s="256"/>
      <c r="AU109" s="256"/>
      <c r="AV109" s="253" t="s">
        <v>33</v>
      </c>
      <c r="AW109" s="253"/>
      <c r="AX109" s="253"/>
    </row>
    <row r="110" spans="2:50" s="69" customFormat="1" ht="30" customHeight="1">
      <c r="B110" s="253"/>
      <c r="C110" s="253"/>
      <c r="D110" s="253"/>
      <c r="E110" s="253"/>
      <c r="F110" s="253"/>
      <c r="G110" s="253"/>
      <c r="H110" s="253"/>
      <c r="I110" s="253"/>
      <c r="J110" s="244" t="s">
        <v>27</v>
      </c>
      <c r="K110" s="244"/>
      <c r="L110" s="244"/>
      <c r="M110" s="244"/>
      <c r="N110" s="244" t="s">
        <v>29</v>
      </c>
      <c r="O110" s="244"/>
      <c r="P110" s="244"/>
      <c r="Q110" s="244"/>
      <c r="R110" s="244" t="s">
        <v>28</v>
      </c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4"/>
      <c r="AI110" s="244"/>
      <c r="AJ110" s="244"/>
      <c r="AK110" s="244"/>
      <c r="AL110" s="253"/>
      <c r="AM110" s="253"/>
      <c r="AN110" s="253"/>
      <c r="AO110" s="256"/>
      <c r="AP110" s="256"/>
      <c r="AQ110" s="256"/>
      <c r="AR110" s="256"/>
      <c r="AS110" s="256"/>
      <c r="AT110" s="256"/>
      <c r="AU110" s="256"/>
      <c r="AV110" s="253"/>
      <c r="AW110" s="253"/>
      <c r="AX110" s="253"/>
    </row>
    <row r="111" spans="2:50" ht="15.75">
      <c r="B111" s="247" t="s">
        <v>21</v>
      </c>
      <c r="C111" s="247"/>
      <c r="D111" s="247"/>
      <c r="E111" s="247"/>
      <c r="F111" s="247"/>
      <c r="G111" s="247"/>
      <c r="H111" s="247"/>
      <c r="I111" s="247"/>
      <c r="J111" s="106">
        <f>2463+616</f>
        <v>3079</v>
      </c>
      <c r="K111" s="106"/>
      <c r="L111" s="106"/>
      <c r="M111" s="106"/>
      <c r="N111" s="106">
        <f>217+1088</f>
        <v>1305</v>
      </c>
      <c r="O111" s="106"/>
      <c r="P111" s="106"/>
      <c r="Q111" s="106"/>
      <c r="R111" s="106">
        <f>2694+1336+328+40</f>
        <v>4398</v>
      </c>
      <c r="S111" s="106"/>
      <c r="T111" s="106"/>
      <c r="U111" s="106"/>
      <c r="V111" s="106">
        <v>136</v>
      </c>
      <c r="W111" s="106"/>
      <c r="X111" s="106"/>
      <c r="Y111" s="106"/>
      <c r="Z111" s="106"/>
      <c r="AA111" s="106"/>
      <c r="AB111" s="106">
        <v>49</v>
      </c>
      <c r="AC111" s="106"/>
      <c r="AD111" s="106"/>
      <c r="AE111" s="106"/>
      <c r="AF111" s="106"/>
      <c r="AG111" s="106"/>
      <c r="AH111" s="106">
        <f>J111+N111+R111+V111+AB111</f>
        <v>8967</v>
      </c>
      <c r="AI111" s="106"/>
      <c r="AJ111" s="106"/>
      <c r="AK111" s="106"/>
      <c r="AL111" s="254">
        <f>AH111/AH115</f>
        <v>0.47778132992327366</v>
      </c>
      <c r="AM111" s="254"/>
      <c r="AN111" s="254"/>
      <c r="AO111" s="106">
        <v>368132761</v>
      </c>
      <c r="AP111" s="106"/>
      <c r="AQ111" s="106"/>
      <c r="AR111" s="106"/>
      <c r="AS111" s="106"/>
      <c r="AT111" s="106"/>
      <c r="AU111" s="106"/>
      <c r="AV111" s="254">
        <f>AO111/AO115</f>
        <v>0.4862441231248114</v>
      </c>
      <c r="AW111" s="254"/>
      <c r="AX111" s="254"/>
    </row>
    <row r="112" spans="2:50" ht="29.25" customHeight="1">
      <c r="B112" s="258" t="s">
        <v>166</v>
      </c>
      <c r="C112" s="259"/>
      <c r="D112" s="259"/>
      <c r="E112" s="259"/>
      <c r="F112" s="259"/>
      <c r="G112" s="259"/>
      <c r="H112" s="259"/>
      <c r="I112" s="260"/>
      <c r="J112" s="106">
        <v>2206</v>
      </c>
      <c r="K112" s="106"/>
      <c r="L112" s="106"/>
      <c r="M112" s="106"/>
      <c r="N112" s="106">
        <v>393</v>
      </c>
      <c r="O112" s="106"/>
      <c r="P112" s="106"/>
      <c r="Q112" s="106"/>
      <c r="R112" s="106">
        <v>3010</v>
      </c>
      <c r="S112" s="106"/>
      <c r="T112" s="106"/>
      <c r="U112" s="106"/>
      <c r="V112" s="106">
        <v>45</v>
      </c>
      <c r="W112" s="106"/>
      <c r="X112" s="106"/>
      <c r="Y112" s="106"/>
      <c r="Z112" s="106"/>
      <c r="AA112" s="106"/>
      <c r="AB112" s="106">
        <v>18</v>
      </c>
      <c r="AC112" s="106"/>
      <c r="AD112" s="106"/>
      <c r="AE112" s="106"/>
      <c r="AF112" s="106"/>
      <c r="AG112" s="106"/>
      <c r="AH112" s="106">
        <f>J112+N112+R112+V112+AB112</f>
        <v>5672</v>
      </c>
      <c r="AI112" s="106"/>
      <c r="AJ112" s="106"/>
      <c r="AK112" s="106"/>
      <c r="AL112" s="254">
        <f>AH112/AH115</f>
        <v>0.30221653878942883</v>
      </c>
      <c r="AM112" s="254"/>
      <c r="AN112" s="254"/>
      <c r="AO112" s="106">
        <v>243797203</v>
      </c>
      <c r="AP112" s="106"/>
      <c r="AQ112" s="106"/>
      <c r="AR112" s="106"/>
      <c r="AS112" s="106"/>
      <c r="AT112" s="106"/>
      <c r="AU112" s="106"/>
      <c r="AV112" s="254">
        <f>AO112/AO115</f>
        <v>0.32201686389171064</v>
      </c>
      <c r="AW112" s="254"/>
      <c r="AX112" s="254"/>
    </row>
    <row r="113" spans="2:50" ht="15.75">
      <c r="B113" s="247" t="s">
        <v>23</v>
      </c>
      <c r="C113" s="247"/>
      <c r="D113" s="247"/>
      <c r="E113" s="247"/>
      <c r="F113" s="247"/>
      <c r="G113" s="247"/>
      <c r="H113" s="247"/>
      <c r="I113" s="247"/>
      <c r="J113" s="106">
        <v>1598</v>
      </c>
      <c r="K113" s="106"/>
      <c r="L113" s="106"/>
      <c r="M113" s="106"/>
      <c r="N113" s="106">
        <v>314</v>
      </c>
      <c r="O113" s="106"/>
      <c r="P113" s="106"/>
      <c r="Q113" s="106"/>
      <c r="R113" s="106">
        <v>1475</v>
      </c>
      <c r="S113" s="106"/>
      <c r="T113" s="106"/>
      <c r="U113" s="106"/>
      <c r="V113" s="106">
        <v>65</v>
      </c>
      <c r="W113" s="106"/>
      <c r="X113" s="106"/>
      <c r="Y113" s="106"/>
      <c r="Z113" s="106"/>
      <c r="AA113" s="106"/>
      <c r="AB113" s="106">
        <v>57</v>
      </c>
      <c r="AC113" s="106"/>
      <c r="AD113" s="106"/>
      <c r="AE113" s="106"/>
      <c r="AF113" s="106"/>
      <c r="AG113" s="106"/>
      <c r="AH113" s="106">
        <f>J113+N113+R113+V113+AB113</f>
        <v>3509</v>
      </c>
      <c r="AI113" s="106"/>
      <c r="AJ113" s="106"/>
      <c r="AK113" s="106"/>
      <c r="AL113" s="254">
        <f>AH113/AH115</f>
        <v>0.18696717817561806</v>
      </c>
      <c r="AM113" s="254"/>
      <c r="AN113" s="254"/>
      <c r="AO113" s="106">
        <v>95976109</v>
      </c>
      <c r="AP113" s="106"/>
      <c r="AQ113" s="106"/>
      <c r="AR113" s="106"/>
      <c r="AS113" s="106"/>
      <c r="AT113" s="106"/>
      <c r="AU113" s="106"/>
      <c r="AV113" s="254">
        <f>AO113/AO115</f>
        <v>0.12676899180303142</v>
      </c>
      <c r="AW113" s="254"/>
      <c r="AX113" s="254"/>
    </row>
    <row r="114" spans="2:50" ht="15.75">
      <c r="B114" s="247" t="s">
        <v>24</v>
      </c>
      <c r="C114" s="247"/>
      <c r="D114" s="247"/>
      <c r="E114" s="247"/>
      <c r="F114" s="247"/>
      <c r="G114" s="247"/>
      <c r="H114" s="247"/>
      <c r="I114" s="247"/>
      <c r="J114" s="106">
        <v>399</v>
      </c>
      <c r="K114" s="106"/>
      <c r="L114" s="106"/>
      <c r="M114" s="106"/>
      <c r="N114" s="106">
        <v>217</v>
      </c>
      <c r="O114" s="106"/>
      <c r="P114" s="106"/>
      <c r="Q114" s="106"/>
      <c r="R114" s="106"/>
      <c r="S114" s="106"/>
      <c r="T114" s="106"/>
      <c r="U114" s="106"/>
      <c r="V114" s="106">
        <v>3</v>
      </c>
      <c r="W114" s="106"/>
      <c r="X114" s="106"/>
      <c r="Y114" s="106"/>
      <c r="Z114" s="106"/>
      <c r="AA114" s="106"/>
      <c r="AB114" s="106">
        <v>1</v>
      </c>
      <c r="AC114" s="106"/>
      <c r="AD114" s="106"/>
      <c r="AE114" s="106"/>
      <c r="AF114" s="106"/>
      <c r="AG114" s="106"/>
      <c r="AH114" s="106">
        <f>J114+N114+R114+V114+AB114</f>
        <v>620</v>
      </c>
      <c r="AI114" s="106"/>
      <c r="AJ114" s="106"/>
      <c r="AK114" s="106"/>
      <c r="AL114" s="254">
        <f>AH114/AH115</f>
        <v>0.033034953111679456</v>
      </c>
      <c r="AM114" s="254"/>
      <c r="AN114" s="254"/>
      <c r="AO114" s="106">
        <v>49188447</v>
      </c>
      <c r="AP114" s="106"/>
      <c r="AQ114" s="106"/>
      <c r="AR114" s="106"/>
      <c r="AS114" s="106"/>
      <c r="AT114" s="106"/>
      <c r="AU114" s="106"/>
      <c r="AV114" s="254">
        <f>AO114/AO115</f>
        <v>0.06497002118044654</v>
      </c>
      <c r="AW114" s="254"/>
      <c r="AX114" s="254"/>
    </row>
    <row r="115" spans="2:50" s="12" customFormat="1" ht="15.75" customHeight="1">
      <c r="B115" s="248" t="s">
        <v>32</v>
      </c>
      <c r="C115" s="248"/>
      <c r="D115" s="248"/>
      <c r="E115" s="248"/>
      <c r="F115" s="248"/>
      <c r="G115" s="248"/>
      <c r="H115" s="248"/>
      <c r="I115" s="248"/>
      <c r="J115" s="109">
        <f>SUM(J111:J114)</f>
        <v>7282</v>
      </c>
      <c r="K115" s="109"/>
      <c r="L115" s="109"/>
      <c r="M115" s="109"/>
      <c r="N115" s="109">
        <f>SUM(N111:N114)</f>
        <v>2229</v>
      </c>
      <c r="O115" s="109"/>
      <c r="P115" s="109"/>
      <c r="Q115" s="109"/>
      <c r="R115" s="109">
        <f>SUM(R111:R114)</f>
        <v>8883</v>
      </c>
      <c r="S115" s="109"/>
      <c r="T115" s="109"/>
      <c r="U115" s="109"/>
      <c r="V115" s="109">
        <f>SUM(V111:V114)</f>
        <v>249</v>
      </c>
      <c r="W115" s="109"/>
      <c r="X115" s="109"/>
      <c r="Y115" s="109"/>
      <c r="Z115" s="109"/>
      <c r="AA115" s="109"/>
      <c r="AB115" s="245">
        <f>SUM(AB111:AB114)</f>
        <v>125</v>
      </c>
      <c r="AC115" s="245"/>
      <c r="AD115" s="245"/>
      <c r="AE115" s="245"/>
      <c r="AF115" s="245"/>
      <c r="AG115" s="245"/>
      <c r="AH115" s="109">
        <f>SUM(AH111:AH114)</f>
        <v>18768</v>
      </c>
      <c r="AI115" s="105"/>
      <c r="AJ115" s="105"/>
      <c r="AK115" s="105"/>
      <c r="AL115" s="255">
        <f>SUM(AL111:AL114)</f>
        <v>1</v>
      </c>
      <c r="AM115" s="255"/>
      <c r="AN115" s="255"/>
      <c r="AO115" s="109">
        <f>SUM(AO111:AO114)</f>
        <v>757094520</v>
      </c>
      <c r="AP115" s="109"/>
      <c r="AQ115" s="109"/>
      <c r="AR115" s="109"/>
      <c r="AS115" s="109"/>
      <c r="AT115" s="109"/>
      <c r="AU115" s="109"/>
      <c r="AV115" s="255">
        <f>SUM(AV111:AV114)</f>
        <v>1</v>
      </c>
      <c r="AW115" s="255"/>
      <c r="AX115" s="255"/>
    </row>
    <row r="116" spans="11:46" ht="14.25" customHeight="1"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AO116" s="18"/>
      <c r="AP116" s="18"/>
      <c r="AQ116" s="18"/>
      <c r="AR116" s="18"/>
      <c r="AS116" s="18"/>
      <c r="AT116" s="18"/>
    </row>
    <row r="117" spans="1:46" ht="18.75">
      <c r="A117" s="23" t="s">
        <v>158</v>
      </c>
      <c r="N117" s="22"/>
      <c r="S117" s="22"/>
      <c r="X117" s="22"/>
      <c r="AO117" s="18"/>
      <c r="AP117" s="18"/>
      <c r="AQ117" s="18"/>
      <c r="AR117" s="18"/>
      <c r="AS117" s="18"/>
      <c r="AT117" s="18"/>
    </row>
    <row r="118" spans="1:46" ht="15.75">
      <c r="A118" s="24" t="s">
        <v>178</v>
      </c>
      <c r="N118" s="19"/>
      <c r="S118" s="19"/>
      <c r="X118" s="19"/>
      <c r="AO118" s="19"/>
      <c r="AP118" s="19"/>
      <c r="AQ118" s="19"/>
      <c r="AR118" s="19"/>
      <c r="AS118" s="19"/>
      <c r="AT118" s="19"/>
    </row>
    <row r="119" spans="1:46" ht="15" customHeight="1">
      <c r="A119" s="24"/>
      <c r="N119" s="19"/>
      <c r="S119" s="19"/>
      <c r="X119" s="19"/>
      <c r="AO119" s="19"/>
      <c r="AP119" s="19"/>
      <c r="AQ119" s="19"/>
      <c r="AR119" s="19"/>
      <c r="AS119" s="19"/>
      <c r="AT119" s="19"/>
    </row>
    <row r="120" spans="2:46" s="35" customFormat="1" ht="24" customHeight="1">
      <c r="B120" s="253" t="s">
        <v>20</v>
      </c>
      <c r="C120" s="253"/>
      <c r="D120" s="253"/>
      <c r="E120" s="253"/>
      <c r="F120" s="253"/>
      <c r="G120" s="253"/>
      <c r="H120" s="253"/>
      <c r="I120" s="253"/>
      <c r="J120" s="253" t="s">
        <v>35</v>
      </c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  <c r="V120" s="253"/>
      <c r="W120" s="253"/>
      <c r="X120" s="257" t="s">
        <v>38</v>
      </c>
      <c r="Y120" s="257"/>
      <c r="Z120" s="257"/>
      <c r="AA120" s="257"/>
      <c r="AB120" s="257"/>
      <c r="AC120" s="257"/>
      <c r="AD120" s="257"/>
      <c r="AE120" s="250" t="s">
        <v>12</v>
      </c>
      <c r="AF120" s="250"/>
      <c r="AG120" s="250"/>
      <c r="AH120" s="250"/>
      <c r="AI120" s="250"/>
      <c r="AJ120" s="250"/>
      <c r="AK120" s="250"/>
      <c r="AO120" s="70"/>
      <c r="AP120" s="70"/>
      <c r="AQ120" s="70"/>
      <c r="AR120" s="70"/>
      <c r="AS120" s="70"/>
      <c r="AT120" s="70"/>
    </row>
    <row r="121" spans="2:46" s="35" customFormat="1" ht="15.75">
      <c r="B121" s="253"/>
      <c r="C121" s="253"/>
      <c r="D121" s="253"/>
      <c r="E121" s="253"/>
      <c r="F121" s="253"/>
      <c r="G121" s="253"/>
      <c r="H121" s="253"/>
      <c r="I121" s="253"/>
      <c r="J121" s="250" t="s">
        <v>36</v>
      </c>
      <c r="K121" s="250"/>
      <c r="L121" s="250"/>
      <c r="M121" s="250"/>
      <c r="N121" s="250"/>
      <c r="O121" s="250"/>
      <c r="P121" s="250"/>
      <c r="Q121" s="250" t="s">
        <v>37</v>
      </c>
      <c r="R121" s="250"/>
      <c r="S121" s="250"/>
      <c r="T121" s="250"/>
      <c r="U121" s="250"/>
      <c r="V121" s="250"/>
      <c r="W121" s="250"/>
      <c r="X121" s="257"/>
      <c r="Y121" s="257"/>
      <c r="Z121" s="257"/>
      <c r="AA121" s="257"/>
      <c r="AB121" s="257"/>
      <c r="AC121" s="257"/>
      <c r="AD121" s="257"/>
      <c r="AE121" s="250"/>
      <c r="AF121" s="250"/>
      <c r="AG121" s="250"/>
      <c r="AH121" s="250"/>
      <c r="AI121" s="250"/>
      <c r="AJ121" s="250"/>
      <c r="AK121" s="250"/>
      <c r="AO121" s="70"/>
      <c r="AP121" s="70"/>
      <c r="AQ121" s="70"/>
      <c r="AR121" s="70"/>
      <c r="AS121" s="70"/>
      <c r="AT121" s="70"/>
    </row>
    <row r="122" spans="2:46" ht="15.75">
      <c r="B122" s="247" t="s">
        <v>21</v>
      </c>
      <c r="C122" s="247"/>
      <c r="D122" s="247"/>
      <c r="E122" s="247"/>
      <c r="F122" s="247"/>
      <c r="G122" s="247"/>
      <c r="H122" s="247"/>
      <c r="I122" s="247"/>
      <c r="J122" s="106">
        <v>114368912</v>
      </c>
      <c r="K122" s="251"/>
      <c r="L122" s="251"/>
      <c r="M122" s="251"/>
      <c r="N122" s="251"/>
      <c r="O122" s="251"/>
      <c r="P122" s="251"/>
      <c r="Q122" s="106">
        <v>6367000</v>
      </c>
      <c r="R122" s="251"/>
      <c r="S122" s="251"/>
      <c r="T122" s="251"/>
      <c r="U122" s="251"/>
      <c r="V122" s="251"/>
      <c r="W122" s="251"/>
      <c r="X122" s="106">
        <f>114113568+78401405</f>
        <v>192514973</v>
      </c>
      <c r="Y122" s="251"/>
      <c r="Z122" s="251"/>
      <c r="AA122" s="251"/>
      <c r="AB122" s="251"/>
      <c r="AC122" s="251"/>
      <c r="AD122" s="251"/>
      <c r="AE122" s="109">
        <f>J122+Q122+X122</f>
        <v>313250885</v>
      </c>
      <c r="AF122" s="252"/>
      <c r="AG122" s="252"/>
      <c r="AH122" s="252"/>
      <c r="AI122" s="252"/>
      <c r="AJ122" s="252"/>
      <c r="AK122" s="252"/>
      <c r="AO122" s="20"/>
      <c r="AP122" s="20"/>
      <c r="AQ122" s="20"/>
      <c r="AR122" s="20"/>
      <c r="AS122" s="20"/>
      <c r="AT122" s="20"/>
    </row>
    <row r="123" spans="2:37" ht="31.5" customHeight="1">
      <c r="B123" s="258" t="s">
        <v>166</v>
      </c>
      <c r="C123" s="259"/>
      <c r="D123" s="259"/>
      <c r="E123" s="259"/>
      <c r="F123" s="259"/>
      <c r="G123" s="259"/>
      <c r="H123" s="259"/>
      <c r="I123" s="260"/>
      <c r="J123" s="106">
        <f>25454262+5426255</f>
        <v>30880517</v>
      </c>
      <c r="K123" s="251"/>
      <c r="L123" s="251"/>
      <c r="M123" s="251"/>
      <c r="N123" s="251"/>
      <c r="O123" s="251"/>
      <c r="P123" s="251"/>
      <c r="Q123" s="106"/>
      <c r="R123" s="251"/>
      <c r="S123" s="251"/>
      <c r="T123" s="251"/>
      <c r="U123" s="251"/>
      <c r="V123" s="251"/>
      <c r="W123" s="251"/>
      <c r="X123" s="106">
        <f>264665000+15600000</f>
        <v>280265000</v>
      </c>
      <c r="Y123" s="251"/>
      <c r="Z123" s="251"/>
      <c r="AA123" s="251"/>
      <c r="AB123" s="251"/>
      <c r="AC123" s="251"/>
      <c r="AD123" s="251"/>
      <c r="AE123" s="109">
        <f>J123+Q123+X123</f>
        <v>311145517</v>
      </c>
      <c r="AF123" s="252"/>
      <c r="AG123" s="252"/>
      <c r="AH123" s="252"/>
      <c r="AI123" s="252"/>
      <c r="AJ123" s="252"/>
      <c r="AK123" s="252"/>
    </row>
    <row r="124" spans="2:37" ht="15.75">
      <c r="B124" s="247" t="s">
        <v>23</v>
      </c>
      <c r="C124" s="247"/>
      <c r="D124" s="247"/>
      <c r="E124" s="247"/>
      <c r="F124" s="247"/>
      <c r="G124" s="247"/>
      <c r="H124" s="247"/>
      <c r="I124" s="247"/>
      <c r="J124" s="106">
        <v>2115124</v>
      </c>
      <c r="K124" s="251"/>
      <c r="L124" s="251"/>
      <c r="M124" s="251"/>
      <c r="N124" s="251"/>
      <c r="O124" s="251"/>
      <c r="P124" s="251"/>
      <c r="Q124" s="106">
        <v>1959100</v>
      </c>
      <c r="R124" s="251"/>
      <c r="S124" s="251"/>
      <c r="T124" s="251"/>
      <c r="U124" s="251"/>
      <c r="V124" s="251"/>
      <c r="W124" s="251"/>
      <c r="X124" s="106">
        <v>2300000</v>
      </c>
      <c r="Y124" s="251"/>
      <c r="Z124" s="251"/>
      <c r="AA124" s="251"/>
      <c r="AB124" s="251"/>
      <c r="AC124" s="251"/>
      <c r="AD124" s="251"/>
      <c r="AE124" s="109">
        <f>J124+Q124+X124</f>
        <v>6374224</v>
      </c>
      <c r="AF124" s="252"/>
      <c r="AG124" s="252"/>
      <c r="AH124" s="252"/>
      <c r="AI124" s="252"/>
      <c r="AJ124" s="252"/>
      <c r="AK124" s="252"/>
    </row>
    <row r="125" spans="2:37" ht="15.75">
      <c r="B125" s="247" t="s">
        <v>24</v>
      </c>
      <c r="C125" s="247"/>
      <c r="D125" s="247"/>
      <c r="E125" s="247"/>
      <c r="F125" s="247"/>
      <c r="G125" s="247"/>
      <c r="H125" s="247"/>
      <c r="I125" s="247"/>
      <c r="J125" s="106">
        <v>222247</v>
      </c>
      <c r="K125" s="251"/>
      <c r="L125" s="251"/>
      <c r="M125" s="251"/>
      <c r="N125" s="251"/>
      <c r="O125" s="251"/>
      <c r="P125" s="251"/>
      <c r="Q125" s="106"/>
      <c r="R125" s="251"/>
      <c r="S125" s="251"/>
      <c r="T125" s="251"/>
      <c r="U125" s="251"/>
      <c r="V125" s="251"/>
      <c r="W125" s="251"/>
      <c r="X125" s="106">
        <v>2000000</v>
      </c>
      <c r="Y125" s="251"/>
      <c r="Z125" s="251"/>
      <c r="AA125" s="251"/>
      <c r="AB125" s="251"/>
      <c r="AC125" s="251"/>
      <c r="AD125" s="251"/>
      <c r="AE125" s="109">
        <f>J125+Q125+X125</f>
        <v>2222247</v>
      </c>
      <c r="AF125" s="252"/>
      <c r="AG125" s="252"/>
      <c r="AH125" s="252"/>
      <c r="AI125" s="252"/>
      <c r="AJ125" s="252"/>
      <c r="AK125" s="252"/>
    </row>
    <row r="126" spans="2:37" s="12" customFormat="1" ht="15.75">
      <c r="B126" s="248" t="s">
        <v>32</v>
      </c>
      <c r="C126" s="248"/>
      <c r="D126" s="248"/>
      <c r="E126" s="248"/>
      <c r="F126" s="248"/>
      <c r="G126" s="248"/>
      <c r="H126" s="248"/>
      <c r="I126" s="248"/>
      <c r="J126" s="109">
        <f>SUM(J122:J125)</f>
        <v>147586800</v>
      </c>
      <c r="K126" s="252"/>
      <c r="L126" s="252"/>
      <c r="M126" s="252"/>
      <c r="N126" s="252"/>
      <c r="O126" s="252"/>
      <c r="P126" s="252"/>
      <c r="Q126" s="109">
        <f>SUM(Q122:Q125)</f>
        <v>8326100</v>
      </c>
      <c r="R126" s="252"/>
      <c r="S126" s="252"/>
      <c r="T126" s="252"/>
      <c r="U126" s="252"/>
      <c r="V126" s="252"/>
      <c r="W126" s="252"/>
      <c r="X126" s="109">
        <f>SUM(X122:X125)</f>
        <v>477079973</v>
      </c>
      <c r="Y126" s="252"/>
      <c r="Z126" s="252"/>
      <c r="AA126" s="252"/>
      <c r="AB126" s="252"/>
      <c r="AC126" s="252"/>
      <c r="AD126" s="252"/>
      <c r="AE126" s="109">
        <f>SUM(AE122:AE125)</f>
        <v>632992873</v>
      </c>
      <c r="AF126" s="252"/>
      <c r="AG126" s="252"/>
      <c r="AH126" s="252"/>
      <c r="AI126" s="252"/>
      <c r="AJ126" s="252"/>
      <c r="AK126" s="252"/>
    </row>
    <row r="127" ht="14.25" customHeight="1"/>
    <row r="128" ht="18.75">
      <c r="A128" s="23" t="s">
        <v>159</v>
      </c>
    </row>
    <row r="129" spans="1:50" ht="33" customHeight="1">
      <c r="A129" s="264" t="s">
        <v>179</v>
      </c>
      <c r="B129" s="264"/>
      <c r="C129" s="264"/>
      <c r="D129" s="264"/>
      <c r="E129" s="264"/>
      <c r="F129" s="264"/>
      <c r="G129" s="264"/>
      <c r="H129" s="264"/>
      <c r="I129" s="264"/>
      <c r="J129" s="264"/>
      <c r="K129" s="264"/>
      <c r="L129" s="264"/>
      <c r="M129" s="264"/>
      <c r="N129" s="264"/>
      <c r="O129" s="264"/>
      <c r="P129" s="264"/>
      <c r="Q129" s="264"/>
      <c r="R129" s="264"/>
      <c r="S129" s="264"/>
      <c r="T129" s="264"/>
      <c r="U129" s="264"/>
      <c r="V129" s="264"/>
      <c r="W129" s="264"/>
      <c r="X129" s="264"/>
      <c r="Y129" s="264"/>
      <c r="Z129" s="264"/>
      <c r="AA129" s="264"/>
      <c r="AB129" s="264"/>
      <c r="AC129" s="264"/>
      <c r="AD129" s="264"/>
      <c r="AE129" s="264"/>
      <c r="AF129" s="264"/>
      <c r="AG129" s="264"/>
      <c r="AH129" s="264"/>
      <c r="AI129" s="264"/>
      <c r="AJ129" s="264"/>
      <c r="AK129" s="264"/>
      <c r="AL129" s="264"/>
      <c r="AM129" s="264"/>
      <c r="AN129" s="264"/>
      <c r="AO129" s="264"/>
      <c r="AP129" s="264"/>
      <c r="AQ129" s="264"/>
      <c r="AR129" s="264"/>
      <c r="AS129" s="264"/>
      <c r="AT129" s="264"/>
      <c r="AU129" s="264"/>
      <c r="AV129" s="264"/>
      <c r="AW129" s="264"/>
      <c r="AX129" s="264"/>
    </row>
    <row r="130" ht="15" customHeight="1"/>
    <row r="131" spans="2:58" s="12" customFormat="1" ht="21.75" customHeight="1">
      <c r="B131" s="253" t="s">
        <v>20</v>
      </c>
      <c r="C131" s="253"/>
      <c r="D131" s="253"/>
      <c r="E131" s="253"/>
      <c r="F131" s="253"/>
      <c r="G131" s="253"/>
      <c r="H131" s="253"/>
      <c r="I131" s="253"/>
      <c r="J131" s="244" t="s">
        <v>40</v>
      </c>
      <c r="K131" s="244"/>
      <c r="L131" s="244"/>
      <c r="M131" s="244"/>
      <c r="N131" s="244"/>
      <c r="O131" s="244"/>
      <c r="P131" s="244"/>
      <c r="Q131" s="244"/>
      <c r="R131" s="244"/>
      <c r="S131" s="244" t="s">
        <v>41</v>
      </c>
      <c r="T131" s="244"/>
      <c r="U131" s="244"/>
      <c r="V131" s="244"/>
      <c r="W131" s="244"/>
      <c r="X131" s="244"/>
      <c r="Y131" s="244"/>
      <c r="Z131" s="244"/>
      <c r="AA131" s="244"/>
      <c r="AB131" s="244" t="s">
        <v>12</v>
      </c>
      <c r="AC131" s="244"/>
      <c r="AD131" s="244"/>
      <c r="AE131" s="244"/>
      <c r="AF131" s="244"/>
      <c r="AG131" s="244"/>
      <c r="AH131" s="244"/>
      <c r="AI131" s="244"/>
      <c r="AJ131" s="244"/>
      <c r="AM131" s="244" t="s">
        <v>39</v>
      </c>
      <c r="AN131" s="244"/>
      <c r="AO131" s="244"/>
      <c r="AP131" s="244"/>
      <c r="AQ131" s="244"/>
      <c r="AR131" s="244"/>
      <c r="AS131" s="244"/>
      <c r="AT131" s="244"/>
      <c r="AU131" s="244"/>
      <c r="AY131" s="263"/>
      <c r="AZ131" s="263"/>
      <c r="BA131" s="263"/>
      <c r="BB131" s="263"/>
      <c r="BC131" s="263"/>
      <c r="BD131" s="263"/>
      <c r="BE131" s="263"/>
      <c r="BF131" s="263"/>
    </row>
    <row r="132" spans="2:58" s="12" customFormat="1" ht="15.75">
      <c r="B132" s="253"/>
      <c r="C132" s="253"/>
      <c r="D132" s="253"/>
      <c r="E132" s="253"/>
      <c r="F132" s="253"/>
      <c r="G132" s="253"/>
      <c r="H132" s="253"/>
      <c r="I132" s="253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F132" s="244"/>
      <c r="AG132" s="244"/>
      <c r="AH132" s="244"/>
      <c r="AI132" s="244"/>
      <c r="AJ132" s="244"/>
      <c r="AM132" s="244"/>
      <c r="AN132" s="244"/>
      <c r="AO132" s="244"/>
      <c r="AP132" s="244"/>
      <c r="AQ132" s="244"/>
      <c r="AR132" s="244"/>
      <c r="AS132" s="244"/>
      <c r="AT132" s="244"/>
      <c r="AU132" s="244"/>
      <c r="AY132" s="263"/>
      <c r="AZ132" s="263"/>
      <c r="BA132" s="263"/>
      <c r="BB132" s="263"/>
      <c r="BC132" s="263"/>
      <c r="BD132" s="263"/>
      <c r="BE132" s="263"/>
      <c r="BF132" s="263"/>
    </row>
    <row r="133" spans="2:58" s="42" customFormat="1" ht="15">
      <c r="B133" s="247" t="s">
        <v>21</v>
      </c>
      <c r="C133" s="247"/>
      <c r="D133" s="247"/>
      <c r="E133" s="247"/>
      <c r="F133" s="247"/>
      <c r="G133" s="247"/>
      <c r="H133" s="247"/>
      <c r="I133" s="247"/>
      <c r="J133" s="106">
        <v>18000000</v>
      </c>
      <c r="K133" s="106"/>
      <c r="L133" s="106"/>
      <c r="M133" s="106"/>
      <c r="N133" s="106"/>
      <c r="O133" s="106"/>
      <c r="P133" s="106"/>
      <c r="Q133" s="106"/>
      <c r="R133" s="106"/>
      <c r="S133" s="106">
        <v>7000000</v>
      </c>
      <c r="T133" s="106"/>
      <c r="U133" s="106"/>
      <c r="V133" s="106"/>
      <c r="W133" s="106"/>
      <c r="X133" s="106"/>
      <c r="Y133" s="106"/>
      <c r="Z133" s="106"/>
      <c r="AA133" s="106"/>
      <c r="AB133" s="109">
        <f>J133+S133</f>
        <v>25000000</v>
      </c>
      <c r="AC133" s="109"/>
      <c r="AD133" s="109"/>
      <c r="AE133" s="109"/>
      <c r="AF133" s="109"/>
      <c r="AG133" s="109"/>
      <c r="AH133" s="109"/>
      <c r="AI133" s="109"/>
      <c r="AJ133" s="109"/>
      <c r="AM133" s="106">
        <f>54948955+3723220+39269604-7000000</f>
        <v>90941779</v>
      </c>
      <c r="AN133" s="106"/>
      <c r="AO133" s="106"/>
      <c r="AP133" s="106"/>
      <c r="AQ133" s="106"/>
      <c r="AR133" s="106"/>
      <c r="AS133" s="106"/>
      <c r="AT133" s="106"/>
      <c r="AU133" s="106"/>
      <c r="AY133" s="261"/>
      <c r="AZ133" s="261"/>
      <c r="BA133" s="261"/>
      <c r="BB133" s="261"/>
      <c r="BC133" s="261"/>
      <c r="BD133" s="261"/>
      <c r="BE133" s="261"/>
      <c r="BF133" s="261"/>
    </row>
    <row r="134" spans="2:58" s="42" customFormat="1" ht="33" customHeight="1">
      <c r="B134" s="258" t="s">
        <v>166</v>
      </c>
      <c r="C134" s="259"/>
      <c r="D134" s="259"/>
      <c r="E134" s="259"/>
      <c r="F134" s="259"/>
      <c r="G134" s="259"/>
      <c r="H134" s="259"/>
      <c r="I134" s="260"/>
      <c r="J134" s="106">
        <v>5828600</v>
      </c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9">
        <f>J134+S134</f>
        <v>5828600</v>
      </c>
      <c r="AC134" s="109"/>
      <c r="AD134" s="109"/>
      <c r="AE134" s="109"/>
      <c r="AF134" s="109"/>
      <c r="AG134" s="109"/>
      <c r="AH134" s="109"/>
      <c r="AI134" s="109"/>
      <c r="AJ134" s="109"/>
      <c r="AM134" s="106">
        <f>182606900+13431000</f>
        <v>196037900</v>
      </c>
      <c r="AN134" s="106"/>
      <c r="AO134" s="106"/>
      <c r="AP134" s="106"/>
      <c r="AQ134" s="106"/>
      <c r="AR134" s="106"/>
      <c r="AS134" s="106"/>
      <c r="AT134" s="106"/>
      <c r="AU134" s="106"/>
      <c r="AY134" s="261"/>
      <c r="AZ134" s="261"/>
      <c r="BA134" s="261"/>
      <c r="BB134" s="261"/>
      <c r="BC134" s="261"/>
      <c r="BD134" s="261"/>
      <c r="BE134" s="261"/>
      <c r="BF134" s="261"/>
    </row>
    <row r="135" spans="2:58" s="42" customFormat="1" ht="15">
      <c r="B135" s="247" t="s">
        <v>23</v>
      </c>
      <c r="C135" s="247"/>
      <c r="D135" s="247"/>
      <c r="E135" s="247"/>
      <c r="F135" s="247"/>
      <c r="G135" s="247"/>
      <c r="H135" s="247"/>
      <c r="I135" s="247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9">
        <f>J135+S135</f>
        <v>0</v>
      </c>
      <c r="AC135" s="109"/>
      <c r="AD135" s="109"/>
      <c r="AE135" s="109"/>
      <c r="AF135" s="109"/>
      <c r="AG135" s="109"/>
      <c r="AH135" s="109"/>
      <c r="AI135" s="109"/>
      <c r="AJ135" s="109"/>
      <c r="AM135" s="106">
        <f>5434500+3150000</f>
        <v>8584500</v>
      </c>
      <c r="AN135" s="106"/>
      <c r="AO135" s="106"/>
      <c r="AP135" s="106"/>
      <c r="AQ135" s="106"/>
      <c r="AR135" s="106"/>
      <c r="AS135" s="106"/>
      <c r="AT135" s="106"/>
      <c r="AU135" s="106"/>
      <c r="AY135" s="261"/>
      <c r="AZ135" s="261"/>
      <c r="BA135" s="261"/>
      <c r="BB135" s="261"/>
      <c r="BC135" s="261"/>
      <c r="BD135" s="261"/>
      <c r="BE135" s="261"/>
      <c r="BF135" s="261"/>
    </row>
    <row r="136" spans="2:58" s="42" customFormat="1" ht="15">
      <c r="B136" s="247" t="s">
        <v>24</v>
      </c>
      <c r="C136" s="247"/>
      <c r="D136" s="247"/>
      <c r="E136" s="247"/>
      <c r="F136" s="247"/>
      <c r="G136" s="247"/>
      <c r="H136" s="247"/>
      <c r="I136" s="247"/>
      <c r="J136" s="106">
        <v>313185</v>
      </c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9">
        <f>J136+S136</f>
        <v>313185</v>
      </c>
      <c r="AC136" s="109"/>
      <c r="AD136" s="109"/>
      <c r="AE136" s="109"/>
      <c r="AF136" s="109"/>
      <c r="AG136" s="109"/>
      <c r="AH136" s="109"/>
      <c r="AI136" s="109"/>
      <c r="AJ136" s="109"/>
      <c r="AM136" s="106">
        <f>100000+7700000</f>
        <v>7800000</v>
      </c>
      <c r="AN136" s="106"/>
      <c r="AO136" s="106"/>
      <c r="AP136" s="106"/>
      <c r="AQ136" s="106"/>
      <c r="AR136" s="106"/>
      <c r="AS136" s="106"/>
      <c r="AT136" s="106"/>
      <c r="AU136" s="106"/>
      <c r="AY136" s="261"/>
      <c r="AZ136" s="261"/>
      <c r="BA136" s="261"/>
      <c r="BB136" s="261"/>
      <c r="BC136" s="261"/>
      <c r="BD136" s="261"/>
      <c r="BE136" s="261"/>
      <c r="BF136" s="261"/>
    </row>
    <row r="137" spans="2:58" s="42" customFormat="1" ht="15">
      <c r="B137" s="248" t="s">
        <v>32</v>
      </c>
      <c r="C137" s="248"/>
      <c r="D137" s="248"/>
      <c r="E137" s="248"/>
      <c r="F137" s="248"/>
      <c r="G137" s="248"/>
      <c r="H137" s="248"/>
      <c r="I137" s="248"/>
      <c r="J137" s="109">
        <f>SUM(J133:J136)</f>
        <v>24141785</v>
      </c>
      <c r="K137" s="109"/>
      <c r="L137" s="109"/>
      <c r="M137" s="109"/>
      <c r="N137" s="109"/>
      <c r="O137" s="109"/>
      <c r="P137" s="109"/>
      <c r="Q137" s="109"/>
      <c r="R137" s="109"/>
      <c r="S137" s="109">
        <f>SUM(S133:S136)</f>
        <v>7000000</v>
      </c>
      <c r="T137" s="109"/>
      <c r="U137" s="109"/>
      <c r="V137" s="109"/>
      <c r="W137" s="109"/>
      <c r="X137" s="109"/>
      <c r="Y137" s="109"/>
      <c r="Z137" s="109"/>
      <c r="AA137" s="109"/>
      <c r="AB137" s="109">
        <f>SUM(AB133:AB136)</f>
        <v>31141785</v>
      </c>
      <c r="AC137" s="109"/>
      <c r="AD137" s="109"/>
      <c r="AE137" s="109"/>
      <c r="AF137" s="109"/>
      <c r="AG137" s="109"/>
      <c r="AH137" s="109"/>
      <c r="AI137" s="109"/>
      <c r="AJ137" s="109"/>
      <c r="AM137" s="109">
        <f>SUM(AM133:AM136)</f>
        <v>303364179</v>
      </c>
      <c r="AN137" s="109"/>
      <c r="AO137" s="109"/>
      <c r="AP137" s="109"/>
      <c r="AQ137" s="109"/>
      <c r="AR137" s="109"/>
      <c r="AS137" s="109"/>
      <c r="AT137" s="109"/>
      <c r="AU137" s="109"/>
      <c r="AY137" s="262"/>
      <c r="AZ137" s="262"/>
      <c r="BA137" s="262"/>
      <c r="BB137" s="262"/>
      <c r="BC137" s="262"/>
      <c r="BD137" s="262"/>
      <c r="BE137" s="262"/>
      <c r="BF137" s="262"/>
    </row>
    <row r="138" spans="2:58" s="42" customFormat="1" ht="15">
      <c r="B138" s="71"/>
      <c r="C138" s="71"/>
      <c r="D138" s="71"/>
      <c r="E138" s="71"/>
      <c r="F138" s="71"/>
      <c r="G138" s="71"/>
      <c r="H138" s="71"/>
      <c r="I138" s="71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M138" s="72"/>
      <c r="AN138" s="72"/>
      <c r="AO138" s="72"/>
      <c r="AP138" s="72"/>
      <c r="AQ138" s="72"/>
      <c r="AR138" s="72"/>
      <c r="AS138" s="72"/>
      <c r="AT138" s="72"/>
      <c r="AU138" s="72"/>
      <c r="AY138" s="73"/>
      <c r="AZ138" s="73"/>
      <c r="BA138" s="73"/>
      <c r="BB138" s="73"/>
      <c r="BC138" s="73"/>
      <c r="BD138" s="73"/>
      <c r="BE138" s="73"/>
      <c r="BF138" s="73"/>
    </row>
    <row r="139" spans="2:58" s="42" customFormat="1" ht="15">
      <c r="B139" s="71"/>
      <c r="C139" s="71"/>
      <c r="D139" s="71"/>
      <c r="E139" s="71"/>
      <c r="F139" s="71"/>
      <c r="G139" s="71"/>
      <c r="H139" s="71"/>
      <c r="I139" s="71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M139" s="72"/>
      <c r="AN139" s="72"/>
      <c r="AO139" s="72"/>
      <c r="AP139" s="72"/>
      <c r="AQ139" s="72"/>
      <c r="AR139" s="72"/>
      <c r="AS139" s="72"/>
      <c r="AT139" s="72"/>
      <c r="AU139" s="72"/>
      <c r="AY139" s="73"/>
      <c r="AZ139" s="73"/>
      <c r="BA139" s="73"/>
      <c r="BB139" s="73"/>
      <c r="BC139" s="73"/>
      <c r="BD139" s="73"/>
      <c r="BE139" s="73"/>
      <c r="BF139" s="73"/>
    </row>
    <row r="140" spans="2:58" s="42" customFormat="1" ht="15">
      <c r="B140" s="71"/>
      <c r="C140" s="71"/>
      <c r="D140" s="71"/>
      <c r="E140" s="71"/>
      <c r="F140" s="71"/>
      <c r="G140" s="71"/>
      <c r="H140" s="71"/>
      <c r="I140" s="71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M140" s="72"/>
      <c r="AN140" s="72"/>
      <c r="AO140" s="72"/>
      <c r="AP140" s="72"/>
      <c r="AQ140" s="72"/>
      <c r="AR140" s="72"/>
      <c r="AS140" s="72"/>
      <c r="AT140" s="72"/>
      <c r="AU140" s="72"/>
      <c r="AY140" s="73"/>
      <c r="AZ140" s="73"/>
      <c r="BA140" s="73"/>
      <c r="BB140" s="73"/>
      <c r="BC140" s="73"/>
      <c r="BD140" s="73"/>
      <c r="BE140" s="73"/>
      <c r="BF140" s="73"/>
    </row>
    <row r="141" spans="2:58" s="42" customFormat="1" ht="15">
      <c r="B141" s="71"/>
      <c r="C141" s="71"/>
      <c r="D141" s="71"/>
      <c r="E141" s="71"/>
      <c r="F141" s="71"/>
      <c r="G141" s="71"/>
      <c r="H141" s="71"/>
      <c r="I141" s="71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M141" s="72"/>
      <c r="AN141" s="72"/>
      <c r="AO141" s="72"/>
      <c r="AP141" s="72"/>
      <c r="AQ141" s="72"/>
      <c r="AR141" s="72"/>
      <c r="AS141" s="72"/>
      <c r="AT141" s="72"/>
      <c r="AU141" s="72"/>
      <c r="AY141" s="73"/>
      <c r="AZ141" s="73"/>
      <c r="BA141" s="73"/>
      <c r="BB141" s="73"/>
      <c r="BC141" s="73"/>
      <c r="BD141" s="73"/>
      <c r="BE141" s="73"/>
      <c r="BF141" s="73"/>
    </row>
    <row r="142" spans="2:58" s="42" customFormat="1" ht="15">
      <c r="B142" s="71"/>
      <c r="C142" s="71"/>
      <c r="D142" s="71"/>
      <c r="E142" s="71"/>
      <c r="F142" s="71"/>
      <c r="G142" s="71"/>
      <c r="H142" s="71"/>
      <c r="I142" s="71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M142" s="72"/>
      <c r="AN142" s="72"/>
      <c r="AO142" s="72"/>
      <c r="AP142" s="72"/>
      <c r="AQ142" s="72"/>
      <c r="AR142" s="72"/>
      <c r="AS142" s="72"/>
      <c r="AT142" s="72"/>
      <c r="AU142" s="72"/>
      <c r="AY142" s="73"/>
      <c r="AZ142" s="73"/>
      <c r="BA142" s="73"/>
      <c r="BB142" s="73"/>
      <c r="BC142" s="73"/>
      <c r="BD142" s="73"/>
      <c r="BE142" s="73"/>
      <c r="BF142" s="73"/>
    </row>
    <row r="143" spans="1:50" s="12" customFormat="1" ht="15.75">
      <c r="A143" s="116" t="s">
        <v>44</v>
      </c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</row>
    <row r="144" ht="11.25" customHeight="1"/>
    <row r="145" ht="18.75">
      <c r="A145" s="23" t="s">
        <v>180</v>
      </c>
    </row>
    <row r="146" spans="1:50" ht="15.75">
      <c r="A146" s="233" t="s">
        <v>181</v>
      </c>
      <c r="B146" s="233"/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3"/>
      <c r="Z146" s="233"/>
      <c r="AA146" s="233"/>
      <c r="AB146" s="233"/>
      <c r="AC146" s="233"/>
      <c r="AD146" s="233"/>
      <c r="AE146" s="233"/>
      <c r="AF146" s="233"/>
      <c r="AG146" s="233"/>
      <c r="AH146" s="233"/>
      <c r="AI146" s="233"/>
      <c r="AJ146" s="233"/>
      <c r="AK146" s="233"/>
      <c r="AL146" s="233"/>
      <c r="AM146" s="233"/>
      <c r="AN146" s="233"/>
      <c r="AO146" s="233"/>
      <c r="AP146" s="233"/>
      <c r="AQ146" s="233"/>
      <c r="AR146" s="233"/>
      <c r="AS146" s="233"/>
      <c r="AT146" s="233"/>
      <c r="AU146" s="233"/>
      <c r="AV146" s="233"/>
      <c r="AW146" s="233"/>
      <c r="AX146" s="233"/>
    </row>
    <row r="147" spans="1:50" ht="15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</row>
    <row r="148" spans="1:74" s="35" customFormat="1" ht="30.75" customHeight="1">
      <c r="A148" s="123" t="s">
        <v>61</v>
      </c>
      <c r="B148" s="123"/>
      <c r="C148" s="123"/>
      <c r="D148" s="123"/>
      <c r="E148" s="123"/>
      <c r="F148" s="123"/>
      <c r="G148" s="123"/>
      <c r="H148" s="123"/>
      <c r="I148" s="123"/>
      <c r="J148" s="123"/>
      <c r="K148" s="121" t="s">
        <v>59</v>
      </c>
      <c r="L148" s="121"/>
      <c r="M148" s="121"/>
      <c r="N148" s="121"/>
      <c r="O148" s="121"/>
      <c r="P148" s="123" t="s">
        <v>60</v>
      </c>
      <c r="Q148" s="123"/>
      <c r="R148" s="123"/>
      <c r="S148" s="123"/>
      <c r="T148" s="123"/>
      <c r="U148" s="123" t="s">
        <v>37</v>
      </c>
      <c r="V148" s="123"/>
      <c r="W148" s="123"/>
      <c r="X148" s="123"/>
      <c r="Y148" s="123" t="s">
        <v>36</v>
      </c>
      <c r="Z148" s="123"/>
      <c r="AA148" s="123"/>
      <c r="AB148" s="123"/>
      <c r="AC148" s="123"/>
      <c r="AD148" s="121" t="s">
        <v>38</v>
      </c>
      <c r="AE148" s="121"/>
      <c r="AF148" s="121"/>
      <c r="AG148" s="121"/>
      <c r="AH148" s="121"/>
      <c r="AI148" s="121"/>
      <c r="AJ148" s="123" t="s">
        <v>12</v>
      </c>
      <c r="AK148" s="123"/>
      <c r="AL148" s="123"/>
      <c r="AM148" s="123"/>
      <c r="AN148" s="123"/>
      <c r="AO148" s="123"/>
      <c r="AX148" s="53"/>
      <c r="BL148" s="58"/>
      <c r="BM148" s="58"/>
      <c r="BN148" s="280"/>
      <c r="BO148" s="280"/>
      <c r="BP148" s="280"/>
      <c r="BQ148" s="280"/>
      <c r="BR148" s="34"/>
      <c r="BS148" s="34"/>
      <c r="BT148" s="34"/>
      <c r="BU148" s="34"/>
      <c r="BV148" s="58"/>
    </row>
    <row r="149" spans="1:74" ht="18.75" customHeight="1">
      <c r="A149" s="134">
        <v>211</v>
      </c>
      <c r="B149" s="134"/>
      <c r="C149" s="135" t="s">
        <v>45</v>
      </c>
      <c r="D149" s="135"/>
      <c r="E149" s="135"/>
      <c r="F149" s="135"/>
      <c r="G149" s="135"/>
      <c r="H149" s="135"/>
      <c r="I149" s="135"/>
      <c r="J149" s="135"/>
      <c r="K149" s="122">
        <v>2000000</v>
      </c>
      <c r="L149" s="122"/>
      <c r="M149" s="122"/>
      <c r="N149" s="122"/>
      <c r="O149" s="122"/>
      <c r="P149" s="122">
        <v>752669800</v>
      </c>
      <c r="Q149" s="122"/>
      <c r="R149" s="122"/>
      <c r="S149" s="122"/>
      <c r="T149" s="122"/>
      <c r="U149" s="122">
        <v>5497100</v>
      </c>
      <c r="V149" s="122"/>
      <c r="W149" s="122"/>
      <c r="X149" s="122"/>
      <c r="Y149" s="122">
        <v>107604300</v>
      </c>
      <c r="Z149" s="122"/>
      <c r="AA149" s="122"/>
      <c r="AB149" s="122"/>
      <c r="AC149" s="122"/>
      <c r="AD149" s="122">
        <v>681329361</v>
      </c>
      <c r="AE149" s="122"/>
      <c r="AF149" s="122"/>
      <c r="AG149" s="122"/>
      <c r="AH149" s="122"/>
      <c r="AI149" s="122"/>
      <c r="AJ149" s="124">
        <f aca="true" t="shared" si="1" ref="AJ149:AJ162">K149+P149+U149+Y149+AD149</f>
        <v>1549100561</v>
      </c>
      <c r="AK149" s="124"/>
      <c r="AL149" s="124"/>
      <c r="AM149" s="124"/>
      <c r="AN149" s="124"/>
      <c r="AO149" s="124"/>
      <c r="AX149" s="49"/>
      <c r="BL149" s="57"/>
      <c r="BM149" s="57"/>
      <c r="BN149" s="189"/>
      <c r="BO149" s="189"/>
      <c r="BP149" s="189"/>
      <c r="BQ149" s="189"/>
      <c r="BR149" s="189"/>
      <c r="BS149" s="189"/>
      <c r="BT149" s="189"/>
      <c r="BU149" s="189"/>
      <c r="BV149" s="57"/>
    </row>
    <row r="150" spans="1:74" ht="18.75" customHeight="1">
      <c r="A150" s="134">
        <v>212</v>
      </c>
      <c r="B150" s="134"/>
      <c r="C150" s="135" t="s">
        <v>46</v>
      </c>
      <c r="D150" s="135"/>
      <c r="E150" s="135"/>
      <c r="F150" s="135"/>
      <c r="G150" s="135"/>
      <c r="H150" s="135"/>
      <c r="I150" s="135"/>
      <c r="J150" s="135"/>
      <c r="K150" s="122"/>
      <c r="L150" s="122"/>
      <c r="M150" s="122"/>
      <c r="N150" s="122"/>
      <c r="O150" s="122"/>
      <c r="P150" s="122">
        <v>4768500</v>
      </c>
      <c r="Q150" s="122"/>
      <c r="R150" s="122"/>
      <c r="S150" s="122"/>
      <c r="T150" s="122"/>
      <c r="U150" s="122">
        <v>19600</v>
      </c>
      <c r="V150" s="122"/>
      <c r="W150" s="122"/>
      <c r="X150" s="122"/>
      <c r="Y150" s="122">
        <v>184000</v>
      </c>
      <c r="Z150" s="122"/>
      <c r="AA150" s="122"/>
      <c r="AB150" s="122"/>
      <c r="AC150" s="122"/>
      <c r="AD150" s="122">
        <v>16877195</v>
      </c>
      <c r="AE150" s="122"/>
      <c r="AF150" s="122"/>
      <c r="AG150" s="122"/>
      <c r="AH150" s="122"/>
      <c r="AI150" s="122"/>
      <c r="AJ150" s="124">
        <f t="shared" si="1"/>
        <v>21849295</v>
      </c>
      <c r="AK150" s="124"/>
      <c r="AL150" s="124"/>
      <c r="AM150" s="124"/>
      <c r="AN150" s="124"/>
      <c r="AO150" s="124"/>
      <c r="AX150" s="49"/>
      <c r="BL150" s="57"/>
      <c r="BM150" s="57"/>
      <c r="BN150" s="189"/>
      <c r="BO150" s="189"/>
      <c r="BP150" s="189"/>
      <c r="BQ150" s="189"/>
      <c r="BR150" s="189"/>
      <c r="BS150" s="189"/>
      <c r="BT150" s="189"/>
      <c r="BU150" s="189"/>
      <c r="BV150" s="57"/>
    </row>
    <row r="151" spans="1:74" ht="22.5" customHeight="1">
      <c r="A151" s="134">
        <v>213</v>
      </c>
      <c r="B151" s="134"/>
      <c r="C151" s="187" t="s">
        <v>47</v>
      </c>
      <c r="D151" s="187"/>
      <c r="E151" s="187"/>
      <c r="F151" s="187"/>
      <c r="G151" s="187"/>
      <c r="H151" s="187"/>
      <c r="I151" s="187"/>
      <c r="J151" s="187"/>
      <c r="K151" s="122">
        <v>524000</v>
      </c>
      <c r="L151" s="122"/>
      <c r="M151" s="122"/>
      <c r="N151" s="122"/>
      <c r="O151" s="122"/>
      <c r="P151" s="122">
        <v>188540200</v>
      </c>
      <c r="Q151" s="122"/>
      <c r="R151" s="122"/>
      <c r="S151" s="122"/>
      <c r="T151" s="122"/>
      <c r="U151" s="122">
        <v>1440200</v>
      </c>
      <c r="V151" s="122"/>
      <c r="W151" s="122"/>
      <c r="X151" s="122"/>
      <c r="Y151" s="122">
        <v>28192500</v>
      </c>
      <c r="Z151" s="122"/>
      <c r="AA151" s="122"/>
      <c r="AB151" s="122"/>
      <c r="AC151" s="122"/>
      <c r="AD151" s="122">
        <v>166027797</v>
      </c>
      <c r="AE151" s="122"/>
      <c r="AF151" s="122"/>
      <c r="AG151" s="122"/>
      <c r="AH151" s="122"/>
      <c r="AI151" s="122"/>
      <c r="AJ151" s="124">
        <f t="shared" si="1"/>
        <v>384724697</v>
      </c>
      <c r="AK151" s="124"/>
      <c r="AL151" s="124"/>
      <c r="AM151" s="124"/>
      <c r="AN151" s="124"/>
      <c r="AO151" s="124"/>
      <c r="AX151" s="49"/>
      <c r="BL151" s="57"/>
      <c r="BM151" s="57"/>
      <c r="BN151" s="189"/>
      <c r="BO151" s="189"/>
      <c r="BP151" s="189"/>
      <c r="BQ151" s="189"/>
      <c r="BR151" s="189"/>
      <c r="BS151" s="189"/>
      <c r="BT151" s="189"/>
      <c r="BU151" s="189"/>
      <c r="BV151" s="57"/>
    </row>
    <row r="152" spans="1:74" ht="18.75" customHeight="1">
      <c r="A152" s="134">
        <v>221</v>
      </c>
      <c r="B152" s="134"/>
      <c r="C152" s="135" t="s">
        <v>48</v>
      </c>
      <c r="D152" s="135"/>
      <c r="E152" s="135"/>
      <c r="F152" s="135"/>
      <c r="G152" s="135"/>
      <c r="H152" s="135"/>
      <c r="I152" s="135"/>
      <c r="J152" s="135"/>
      <c r="K152" s="122">
        <v>1280000</v>
      </c>
      <c r="L152" s="122"/>
      <c r="M152" s="122"/>
      <c r="N152" s="122"/>
      <c r="O152" s="122"/>
      <c r="P152" s="122">
        <v>6056000</v>
      </c>
      <c r="Q152" s="122"/>
      <c r="R152" s="122"/>
      <c r="S152" s="122"/>
      <c r="T152" s="122"/>
      <c r="U152" s="122">
        <v>50000</v>
      </c>
      <c r="V152" s="122"/>
      <c r="W152" s="122"/>
      <c r="X152" s="122"/>
      <c r="Y152" s="122">
        <v>50000</v>
      </c>
      <c r="Z152" s="122"/>
      <c r="AA152" s="122"/>
      <c r="AB152" s="122"/>
      <c r="AC152" s="122"/>
      <c r="AD152" s="122">
        <v>27888274</v>
      </c>
      <c r="AE152" s="122"/>
      <c r="AF152" s="122"/>
      <c r="AG152" s="122"/>
      <c r="AH152" s="122"/>
      <c r="AI152" s="122"/>
      <c r="AJ152" s="124">
        <f t="shared" si="1"/>
        <v>35324274</v>
      </c>
      <c r="AK152" s="124"/>
      <c r="AL152" s="124"/>
      <c r="AM152" s="124"/>
      <c r="AN152" s="124"/>
      <c r="AO152" s="124"/>
      <c r="AX152" s="49"/>
      <c r="BL152" s="57"/>
      <c r="BM152" s="57"/>
      <c r="BN152" s="189"/>
      <c r="BO152" s="189"/>
      <c r="BP152" s="189"/>
      <c r="BQ152" s="189"/>
      <c r="BR152" s="189"/>
      <c r="BS152" s="189"/>
      <c r="BT152" s="189"/>
      <c r="BU152" s="189"/>
      <c r="BV152" s="57"/>
    </row>
    <row r="153" spans="1:74" ht="18.75" customHeight="1">
      <c r="A153" s="134">
        <v>222</v>
      </c>
      <c r="B153" s="134"/>
      <c r="C153" s="135" t="s">
        <v>49</v>
      </c>
      <c r="D153" s="135"/>
      <c r="E153" s="135"/>
      <c r="F153" s="135"/>
      <c r="G153" s="135"/>
      <c r="H153" s="135"/>
      <c r="I153" s="135"/>
      <c r="J153" s="135"/>
      <c r="K153" s="122">
        <v>220000</v>
      </c>
      <c r="L153" s="122"/>
      <c r="M153" s="122"/>
      <c r="N153" s="122"/>
      <c r="O153" s="122"/>
      <c r="P153" s="122">
        <v>145200</v>
      </c>
      <c r="Q153" s="122"/>
      <c r="R153" s="122"/>
      <c r="S153" s="122"/>
      <c r="T153" s="122"/>
      <c r="U153" s="122">
        <v>75000</v>
      </c>
      <c r="V153" s="122"/>
      <c r="W153" s="122"/>
      <c r="X153" s="122"/>
      <c r="Y153" s="122">
        <v>76000</v>
      </c>
      <c r="Z153" s="122"/>
      <c r="AA153" s="122"/>
      <c r="AB153" s="122"/>
      <c r="AC153" s="122"/>
      <c r="AD153" s="122">
        <v>32758683</v>
      </c>
      <c r="AE153" s="122"/>
      <c r="AF153" s="122"/>
      <c r="AG153" s="122"/>
      <c r="AH153" s="122"/>
      <c r="AI153" s="122"/>
      <c r="AJ153" s="124">
        <f t="shared" si="1"/>
        <v>33274883</v>
      </c>
      <c r="AK153" s="124"/>
      <c r="AL153" s="124"/>
      <c r="AM153" s="124"/>
      <c r="AN153" s="124"/>
      <c r="AO153" s="124"/>
      <c r="AX153" s="49"/>
      <c r="BL153" s="57"/>
      <c r="BM153" s="57"/>
      <c r="BN153" s="189"/>
      <c r="BO153" s="189"/>
      <c r="BP153" s="189"/>
      <c r="BQ153" s="189"/>
      <c r="BR153" s="189"/>
      <c r="BS153" s="189"/>
      <c r="BT153" s="189"/>
      <c r="BU153" s="189"/>
      <c r="BV153" s="57"/>
    </row>
    <row r="154" spans="1:74" ht="18.75" customHeight="1">
      <c r="A154" s="134">
        <v>223</v>
      </c>
      <c r="B154" s="134"/>
      <c r="C154" s="135" t="s">
        <v>50</v>
      </c>
      <c r="D154" s="135"/>
      <c r="E154" s="135"/>
      <c r="F154" s="135"/>
      <c r="G154" s="135"/>
      <c r="H154" s="135"/>
      <c r="I154" s="135"/>
      <c r="J154" s="135"/>
      <c r="K154" s="122">
        <v>10000000</v>
      </c>
      <c r="L154" s="122"/>
      <c r="M154" s="122"/>
      <c r="N154" s="122"/>
      <c r="O154" s="122"/>
      <c r="P154" s="122">
        <v>56436000</v>
      </c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>
        <v>47877100</v>
      </c>
      <c r="AE154" s="122"/>
      <c r="AF154" s="122"/>
      <c r="AG154" s="122"/>
      <c r="AH154" s="122"/>
      <c r="AI154" s="122"/>
      <c r="AJ154" s="124">
        <f t="shared" si="1"/>
        <v>114313100</v>
      </c>
      <c r="AK154" s="124"/>
      <c r="AL154" s="124"/>
      <c r="AM154" s="124"/>
      <c r="AN154" s="124"/>
      <c r="AO154" s="124"/>
      <c r="AX154" s="49"/>
      <c r="BL154" s="57"/>
      <c r="BM154" s="57"/>
      <c r="BN154" s="189"/>
      <c r="BO154" s="189"/>
      <c r="BP154" s="189"/>
      <c r="BQ154" s="189"/>
      <c r="BR154" s="189"/>
      <c r="BS154" s="189"/>
      <c r="BT154" s="189"/>
      <c r="BU154" s="189"/>
      <c r="BV154" s="57"/>
    </row>
    <row r="155" spans="1:74" ht="21" customHeight="1">
      <c r="A155" s="134">
        <v>224</v>
      </c>
      <c r="B155" s="134"/>
      <c r="C155" s="135" t="s">
        <v>51</v>
      </c>
      <c r="D155" s="135"/>
      <c r="E155" s="135"/>
      <c r="F155" s="135"/>
      <c r="G155" s="135"/>
      <c r="H155" s="135"/>
      <c r="I155" s="135"/>
      <c r="J155" s="135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>
        <v>50000</v>
      </c>
      <c r="V155" s="122"/>
      <c r="W155" s="122"/>
      <c r="X155" s="122"/>
      <c r="Y155" s="122"/>
      <c r="Z155" s="122"/>
      <c r="AA155" s="122"/>
      <c r="AB155" s="122"/>
      <c r="AC155" s="122"/>
      <c r="AD155" s="122">
        <v>19621800</v>
      </c>
      <c r="AE155" s="122"/>
      <c r="AF155" s="122"/>
      <c r="AG155" s="122"/>
      <c r="AH155" s="122"/>
      <c r="AI155" s="122"/>
      <c r="AJ155" s="124">
        <f t="shared" si="1"/>
        <v>19671800</v>
      </c>
      <c r="AK155" s="124"/>
      <c r="AL155" s="124"/>
      <c r="AM155" s="124"/>
      <c r="AN155" s="124"/>
      <c r="AO155" s="124"/>
      <c r="AX155" s="49"/>
      <c r="BL155" s="57"/>
      <c r="BM155" s="57"/>
      <c r="BN155" s="189"/>
      <c r="BO155" s="189"/>
      <c r="BP155" s="189"/>
      <c r="BQ155" s="189"/>
      <c r="BR155" s="189"/>
      <c r="BS155" s="189"/>
      <c r="BT155" s="189"/>
      <c r="BU155" s="189"/>
      <c r="BV155" s="57"/>
    </row>
    <row r="156" spans="1:74" ht="23.25" customHeight="1">
      <c r="A156" s="134">
        <v>225</v>
      </c>
      <c r="B156" s="134"/>
      <c r="C156" s="135" t="s">
        <v>52</v>
      </c>
      <c r="D156" s="135"/>
      <c r="E156" s="135"/>
      <c r="F156" s="135"/>
      <c r="G156" s="135"/>
      <c r="H156" s="135"/>
      <c r="I156" s="135"/>
      <c r="J156" s="135"/>
      <c r="K156" s="122">
        <v>1650000</v>
      </c>
      <c r="L156" s="122"/>
      <c r="M156" s="122"/>
      <c r="N156" s="122"/>
      <c r="O156" s="122"/>
      <c r="P156" s="122">
        <v>40821600</v>
      </c>
      <c r="Q156" s="122"/>
      <c r="R156" s="122"/>
      <c r="S156" s="122"/>
      <c r="T156" s="122"/>
      <c r="U156" s="122">
        <v>90000</v>
      </c>
      <c r="V156" s="122"/>
      <c r="W156" s="122"/>
      <c r="X156" s="122"/>
      <c r="Y156" s="122">
        <v>70000</v>
      </c>
      <c r="Z156" s="122"/>
      <c r="AA156" s="122"/>
      <c r="AB156" s="122"/>
      <c r="AC156" s="122"/>
      <c r="AD156" s="122">
        <v>48170481</v>
      </c>
      <c r="AE156" s="122"/>
      <c r="AF156" s="122"/>
      <c r="AG156" s="122"/>
      <c r="AH156" s="122"/>
      <c r="AI156" s="122"/>
      <c r="AJ156" s="124">
        <f t="shared" si="1"/>
        <v>90802081</v>
      </c>
      <c r="AK156" s="124"/>
      <c r="AL156" s="124"/>
      <c r="AM156" s="124"/>
      <c r="AN156" s="124"/>
      <c r="AO156" s="124"/>
      <c r="AX156" s="49"/>
      <c r="BL156" s="57"/>
      <c r="BM156" s="57"/>
      <c r="BN156" s="189"/>
      <c r="BO156" s="189"/>
      <c r="BP156" s="189"/>
      <c r="BQ156" s="189"/>
      <c r="BR156" s="189"/>
      <c r="BS156" s="189"/>
      <c r="BT156" s="189"/>
      <c r="BU156" s="189"/>
      <c r="BV156" s="57"/>
    </row>
    <row r="157" spans="1:74" ht="18.75" customHeight="1">
      <c r="A157" s="134">
        <v>226</v>
      </c>
      <c r="B157" s="134"/>
      <c r="C157" s="135" t="s">
        <v>53</v>
      </c>
      <c r="D157" s="135"/>
      <c r="E157" s="135"/>
      <c r="F157" s="135"/>
      <c r="G157" s="135"/>
      <c r="H157" s="135"/>
      <c r="I157" s="135"/>
      <c r="J157" s="135"/>
      <c r="K157" s="122">
        <v>1228600</v>
      </c>
      <c r="L157" s="122"/>
      <c r="M157" s="122"/>
      <c r="N157" s="122"/>
      <c r="O157" s="122"/>
      <c r="P157" s="122">
        <v>34772600</v>
      </c>
      <c r="Q157" s="122"/>
      <c r="R157" s="122"/>
      <c r="S157" s="122"/>
      <c r="T157" s="122"/>
      <c r="U157" s="122">
        <v>1000000</v>
      </c>
      <c r="V157" s="122"/>
      <c r="W157" s="122"/>
      <c r="X157" s="122"/>
      <c r="Y157" s="122">
        <v>10870000</v>
      </c>
      <c r="Z157" s="122"/>
      <c r="AA157" s="122"/>
      <c r="AB157" s="122"/>
      <c r="AC157" s="122"/>
      <c r="AD157" s="122">
        <v>226059431</v>
      </c>
      <c r="AE157" s="122"/>
      <c r="AF157" s="122"/>
      <c r="AG157" s="122"/>
      <c r="AH157" s="122"/>
      <c r="AI157" s="122"/>
      <c r="AJ157" s="124">
        <f t="shared" si="1"/>
        <v>273930631</v>
      </c>
      <c r="AK157" s="124"/>
      <c r="AL157" s="124"/>
      <c r="AM157" s="124"/>
      <c r="AN157" s="124"/>
      <c r="AO157" s="124"/>
      <c r="AX157" s="49"/>
      <c r="BL157" s="57"/>
      <c r="BM157" s="57"/>
      <c r="BN157" s="189"/>
      <c r="BO157" s="189"/>
      <c r="BP157" s="189"/>
      <c r="BQ157" s="189"/>
      <c r="BR157" s="189"/>
      <c r="BS157" s="189"/>
      <c r="BT157" s="189"/>
      <c r="BU157" s="189"/>
      <c r="BV157" s="57"/>
    </row>
    <row r="158" spans="1:74" ht="22.5" customHeight="1">
      <c r="A158" s="134">
        <v>262</v>
      </c>
      <c r="B158" s="134"/>
      <c r="C158" s="135" t="s">
        <v>54</v>
      </c>
      <c r="D158" s="135"/>
      <c r="E158" s="135"/>
      <c r="F158" s="135"/>
      <c r="G158" s="135"/>
      <c r="H158" s="135"/>
      <c r="I158" s="135"/>
      <c r="J158" s="135"/>
      <c r="K158" s="122"/>
      <c r="L158" s="122"/>
      <c r="M158" s="122"/>
      <c r="N158" s="122"/>
      <c r="O158" s="122"/>
      <c r="P158" s="122">
        <v>20995100</v>
      </c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4">
        <f t="shared" si="1"/>
        <v>20995100</v>
      </c>
      <c r="AK158" s="124"/>
      <c r="AL158" s="124"/>
      <c r="AM158" s="124"/>
      <c r="AN158" s="124"/>
      <c r="AO158" s="124"/>
      <c r="AX158" s="49"/>
      <c r="BL158" s="57"/>
      <c r="BM158" s="57"/>
      <c r="BN158" s="189"/>
      <c r="BO158" s="189"/>
      <c r="BP158" s="189"/>
      <c r="BQ158" s="189"/>
      <c r="BR158" s="189"/>
      <c r="BS158" s="189"/>
      <c r="BT158" s="189"/>
      <c r="BU158" s="189"/>
      <c r="BV158" s="57"/>
    </row>
    <row r="159" spans="1:74" ht="18.75" customHeight="1">
      <c r="A159" s="134">
        <v>290</v>
      </c>
      <c r="B159" s="134"/>
      <c r="C159" s="135" t="s">
        <v>46</v>
      </c>
      <c r="D159" s="135"/>
      <c r="E159" s="135"/>
      <c r="F159" s="135"/>
      <c r="G159" s="135"/>
      <c r="H159" s="135"/>
      <c r="I159" s="135"/>
      <c r="J159" s="135"/>
      <c r="K159" s="122"/>
      <c r="L159" s="122"/>
      <c r="M159" s="122"/>
      <c r="N159" s="122"/>
      <c r="O159" s="122"/>
      <c r="P159" s="122">
        <v>306000800</v>
      </c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>
        <v>44364757</v>
      </c>
      <c r="AE159" s="122"/>
      <c r="AF159" s="122"/>
      <c r="AG159" s="122"/>
      <c r="AH159" s="122"/>
      <c r="AI159" s="122"/>
      <c r="AJ159" s="124">
        <f t="shared" si="1"/>
        <v>350365557</v>
      </c>
      <c r="AK159" s="124"/>
      <c r="AL159" s="124"/>
      <c r="AM159" s="124"/>
      <c r="AN159" s="124"/>
      <c r="AO159" s="124"/>
      <c r="AX159" s="49"/>
      <c r="BL159" s="57"/>
      <c r="BM159" s="57"/>
      <c r="BN159" s="189"/>
      <c r="BO159" s="189"/>
      <c r="BP159" s="189"/>
      <c r="BQ159" s="189"/>
      <c r="BR159" s="189"/>
      <c r="BS159" s="189"/>
      <c r="BT159" s="189"/>
      <c r="BU159" s="189"/>
      <c r="BV159" s="57"/>
    </row>
    <row r="160" spans="1:74" ht="22.5" customHeight="1">
      <c r="A160" s="134">
        <v>310</v>
      </c>
      <c r="B160" s="134"/>
      <c r="C160" s="135" t="s">
        <v>55</v>
      </c>
      <c r="D160" s="135"/>
      <c r="E160" s="135"/>
      <c r="F160" s="135"/>
      <c r="G160" s="135"/>
      <c r="H160" s="135"/>
      <c r="I160" s="135"/>
      <c r="J160" s="135"/>
      <c r="K160" s="122">
        <v>926000</v>
      </c>
      <c r="L160" s="122"/>
      <c r="M160" s="122"/>
      <c r="N160" s="122"/>
      <c r="O160" s="122"/>
      <c r="P160" s="122">
        <v>57913700</v>
      </c>
      <c r="Q160" s="122"/>
      <c r="R160" s="122"/>
      <c r="S160" s="122"/>
      <c r="T160" s="122"/>
      <c r="U160" s="122"/>
      <c r="V160" s="122"/>
      <c r="W160" s="122"/>
      <c r="X160" s="122"/>
      <c r="Y160" s="122">
        <v>240000</v>
      </c>
      <c r="Z160" s="122"/>
      <c r="AA160" s="122"/>
      <c r="AB160" s="122"/>
      <c r="AC160" s="122"/>
      <c r="AD160" s="122">
        <v>72304438</v>
      </c>
      <c r="AE160" s="122"/>
      <c r="AF160" s="122"/>
      <c r="AG160" s="122"/>
      <c r="AH160" s="122"/>
      <c r="AI160" s="122"/>
      <c r="AJ160" s="124">
        <f t="shared" si="1"/>
        <v>131384138</v>
      </c>
      <c r="AK160" s="124"/>
      <c r="AL160" s="124"/>
      <c r="AM160" s="124"/>
      <c r="AN160" s="124"/>
      <c r="AO160" s="124"/>
      <c r="AX160" s="49"/>
      <c r="BL160" s="57"/>
      <c r="BM160" s="57"/>
      <c r="BN160" s="189"/>
      <c r="BO160" s="189"/>
      <c r="BP160" s="189"/>
      <c r="BQ160" s="189"/>
      <c r="BR160" s="189"/>
      <c r="BS160" s="189"/>
      <c r="BT160" s="189"/>
      <c r="BU160" s="189"/>
      <c r="BV160" s="57"/>
    </row>
    <row r="161" spans="1:74" ht="22.5" customHeight="1">
      <c r="A161" s="134">
        <v>320</v>
      </c>
      <c r="B161" s="134"/>
      <c r="C161" s="135" t="s">
        <v>62</v>
      </c>
      <c r="D161" s="135"/>
      <c r="E161" s="135"/>
      <c r="F161" s="135"/>
      <c r="G161" s="135"/>
      <c r="H161" s="135"/>
      <c r="I161" s="135"/>
      <c r="J161" s="135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>
        <v>53755000</v>
      </c>
      <c r="AE161" s="122"/>
      <c r="AF161" s="122"/>
      <c r="AG161" s="122"/>
      <c r="AH161" s="122"/>
      <c r="AI161" s="122"/>
      <c r="AJ161" s="124">
        <f t="shared" si="1"/>
        <v>53755000</v>
      </c>
      <c r="AK161" s="124"/>
      <c r="AL161" s="124"/>
      <c r="AM161" s="124"/>
      <c r="AN161" s="124"/>
      <c r="AO161" s="124"/>
      <c r="AX161" s="49"/>
      <c r="BL161" s="57"/>
      <c r="BM161" s="57"/>
      <c r="BN161" s="50"/>
      <c r="BO161" s="50"/>
      <c r="BP161" s="50"/>
      <c r="BQ161" s="50"/>
      <c r="BR161" s="50"/>
      <c r="BS161" s="50"/>
      <c r="BT161" s="50"/>
      <c r="BU161" s="50"/>
      <c r="BV161" s="57"/>
    </row>
    <row r="162" spans="1:74" ht="24.75" customHeight="1">
      <c r="A162" s="134">
        <v>340</v>
      </c>
      <c r="B162" s="134"/>
      <c r="C162" s="135" t="s">
        <v>56</v>
      </c>
      <c r="D162" s="135"/>
      <c r="E162" s="135"/>
      <c r="F162" s="135"/>
      <c r="G162" s="135"/>
      <c r="H162" s="135"/>
      <c r="I162" s="135"/>
      <c r="J162" s="135"/>
      <c r="K162" s="122">
        <v>6313185</v>
      </c>
      <c r="L162" s="122"/>
      <c r="M162" s="122"/>
      <c r="N162" s="122"/>
      <c r="O162" s="122"/>
      <c r="P162" s="122">
        <v>5491500</v>
      </c>
      <c r="Q162" s="122"/>
      <c r="R162" s="122"/>
      <c r="S162" s="122"/>
      <c r="T162" s="122"/>
      <c r="U162" s="122">
        <v>104200</v>
      </c>
      <c r="V162" s="122"/>
      <c r="W162" s="122"/>
      <c r="X162" s="122"/>
      <c r="Y162" s="122">
        <v>300000</v>
      </c>
      <c r="Z162" s="122"/>
      <c r="AA162" s="122"/>
      <c r="AB162" s="122"/>
      <c r="AC162" s="122"/>
      <c r="AD162" s="122">
        <v>107504355</v>
      </c>
      <c r="AE162" s="122"/>
      <c r="AF162" s="122"/>
      <c r="AG162" s="122"/>
      <c r="AH162" s="122"/>
      <c r="AI162" s="122"/>
      <c r="AJ162" s="124">
        <f t="shared" si="1"/>
        <v>119713240</v>
      </c>
      <c r="AK162" s="124"/>
      <c r="AL162" s="124"/>
      <c r="AM162" s="124"/>
      <c r="AN162" s="124"/>
      <c r="AO162" s="124"/>
      <c r="AX162" s="49"/>
      <c r="BL162" s="57"/>
      <c r="BM162" s="57"/>
      <c r="BN162" s="189"/>
      <c r="BO162" s="189"/>
      <c r="BP162" s="189"/>
      <c r="BQ162" s="189"/>
      <c r="BR162" s="189"/>
      <c r="BS162" s="189"/>
      <c r="BT162" s="189"/>
      <c r="BU162" s="189"/>
      <c r="BV162" s="57"/>
    </row>
    <row r="163" spans="1:74" s="12" customFormat="1" ht="18.75" customHeight="1">
      <c r="A163" s="134">
        <v>900</v>
      </c>
      <c r="B163" s="134"/>
      <c r="C163" s="135" t="s">
        <v>57</v>
      </c>
      <c r="D163" s="135"/>
      <c r="E163" s="135"/>
      <c r="F163" s="135"/>
      <c r="G163" s="135"/>
      <c r="H163" s="135"/>
      <c r="I163" s="135"/>
      <c r="J163" s="135"/>
      <c r="K163" s="124">
        <f>SUM(K149:K162)</f>
        <v>24141785</v>
      </c>
      <c r="L163" s="124"/>
      <c r="M163" s="124"/>
      <c r="N163" s="124"/>
      <c r="O163" s="124"/>
      <c r="P163" s="124">
        <f>SUM(P149:P162)</f>
        <v>1474611000</v>
      </c>
      <c r="Q163" s="124"/>
      <c r="R163" s="124"/>
      <c r="S163" s="124"/>
      <c r="T163" s="124"/>
      <c r="U163" s="124">
        <f>U149+U150+U151+U152+U153+U154+U155+U156+U157+U158+U159+U160+U161+U162</f>
        <v>8326100</v>
      </c>
      <c r="V163" s="124"/>
      <c r="W163" s="124"/>
      <c r="X163" s="124"/>
      <c r="Y163" s="124">
        <f>Y149+Y150+Y151+Y152+Y153+Y154+Y155+Y156+Y157+Y158+Y159+Y160+Y161+Y162</f>
        <v>147586800</v>
      </c>
      <c r="Z163" s="124"/>
      <c r="AA163" s="124"/>
      <c r="AB163" s="124"/>
      <c r="AC163" s="124"/>
      <c r="AD163" s="124">
        <f>AD149+AD150+AD151+AD152+AD153+AD154+AD155+AD156+AD157+AD158+AD159+AD160+AD161+AD162</f>
        <v>1544538672</v>
      </c>
      <c r="AE163" s="124"/>
      <c r="AF163" s="124"/>
      <c r="AG163" s="124"/>
      <c r="AH163" s="124"/>
      <c r="AI163" s="124"/>
      <c r="AJ163" s="124">
        <f>AJ149+AJ150+AJ151+AJ152+AJ153+AJ154+AJ155+AJ156+AJ157+AJ158+AJ159+AJ160+AJ161+AJ162</f>
        <v>3199204357</v>
      </c>
      <c r="AK163" s="124"/>
      <c r="AL163" s="124"/>
      <c r="AM163" s="124"/>
      <c r="AN163" s="124"/>
      <c r="AO163" s="124"/>
      <c r="AX163" s="49"/>
      <c r="BL163" s="59"/>
      <c r="BM163" s="59"/>
      <c r="BN163" s="188"/>
      <c r="BO163" s="188"/>
      <c r="BP163" s="188"/>
      <c r="BQ163" s="188"/>
      <c r="BR163" s="188"/>
      <c r="BS163" s="188"/>
      <c r="BT163" s="188"/>
      <c r="BU163" s="188"/>
      <c r="BV163" s="59"/>
    </row>
    <row r="164" spans="1:50" ht="15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</row>
    <row r="165" spans="1:50" ht="12.75" customHeight="1">
      <c r="A165" s="279" t="s">
        <v>160</v>
      </c>
      <c r="B165" s="279"/>
      <c r="C165" s="279"/>
      <c r="D165" s="279"/>
      <c r="E165" s="279"/>
      <c r="F165" s="279"/>
      <c r="G165" s="279"/>
      <c r="H165" s="279"/>
      <c r="I165" s="279"/>
      <c r="J165" s="279"/>
      <c r="K165" s="279"/>
      <c r="L165" s="279"/>
      <c r="M165" s="279"/>
      <c r="N165" s="279"/>
      <c r="O165" s="279"/>
      <c r="P165" s="279"/>
      <c r="Q165" s="279"/>
      <c r="R165" s="279"/>
      <c r="S165" s="279"/>
      <c r="T165" s="279"/>
      <c r="U165" s="279"/>
      <c r="V165" s="279"/>
      <c r="W165" s="279"/>
      <c r="X165" s="279"/>
      <c r="Y165" s="279"/>
      <c r="Z165" s="279"/>
      <c r="AA165" s="279"/>
      <c r="AB165" s="279"/>
      <c r="AC165" s="279"/>
      <c r="AD165" s="279"/>
      <c r="AE165" s="279"/>
      <c r="AF165" s="279"/>
      <c r="AG165" s="279"/>
      <c r="AH165" s="279"/>
      <c r="AI165" s="279"/>
      <c r="AJ165" s="279"/>
      <c r="AK165" s="279"/>
      <c r="AL165" s="279"/>
      <c r="AM165" s="279"/>
      <c r="AN165" s="279"/>
      <c r="AO165" s="279"/>
      <c r="AP165" s="279"/>
      <c r="AQ165" s="279"/>
      <c r="AR165" s="279"/>
      <c r="AS165" s="279"/>
      <c r="AT165" s="279"/>
      <c r="AU165" s="279"/>
      <c r="AV165" s="279"/>
      <c r="AW165" s="279"/>
      <c r="AX165" s="279"/>
    </row>
    <row r="166" ht="12" customHeight="1" hidden="1" thickBot="1"/>
    <row r="167" spans="1:49" ht="13.5" customHeight="1" hidden="1">
      <c r="A167" s="214" t="s">
        <v>61</v>
      </c>
      <c r="B167" s="215"/>
      <c r="C167" s="215"/>
      <c r="D167" s="215"/>
      <c r="E167" s="215"/>
      <c r="F167" s="215"/>
      <c r="G167" s="215"/>
      <c r="H167" s="215"/>
      <c r="I167" s="215"/>
      <c r="J167" s="216"/>
      <c r="K167" s="220" t="s">
        <v>59</v>
      </c>
      <c r="L167" s="221"/>
      <c r="M167" s="221"/>
      <c r="N167" s="221"/>
      <c r="O167" s="221"/>
      <c r="P167" s="221"/>
      <c r="Q167" s="221"/>
      <c r="R167" s="221"/>
      <c r="S167" s="221"/>
      <c r="T167" s="221"/>
      <c r="U167" s="221"/>
      <c r="V167" s="221"/>
      <c r="W167" s="221"/>
      <c r="X167" s="221"/>
      <c r="Y167" s="221"/>
      <c r="Z167" s="221"/>
      <c r="AA167" s="222"/>
      <c r="AB167" s="220" t="s">
        <v>60</v>
      </c>
      <c r="AC167" s="221"/>
      <c r="AD167" s="221"/>
      <c r="AE167" s="221"/>
      <c r="AF167" s="221"/>
      <c r="AG167" s="221"/>
      <c r="AH167" s="221"/>
      <c r="AI167" s="221"/>
      <c r="AJ167" s="221"/>
      <c r="AK167" s="221"/>
      <c r="AL167" s="221"/>
      <c r="AM167" s="221"/>
      <c r="AN167" s="221"/>
      <c r="AO167" s="221"/>
      <c r="AP167" s="221"/>
      <c r="AQ167" s="221"/>
      <c r="AR167" s="221"/>
      <c r="AS167" s="221"/>
      <c r="AT167" s="221"/>
      <c r="AU167" s="221"/>
      <c r="AV167" s="221"/>
      <c r="AW167" s="222"/>
    </row>
    <row r="168" spans="1:49" s="61" customFormat="1" ht="22.5" customHeight="1" hidden="1">
      <c r="A168" s="217"/>
      <c r="B168" s="126"/>
      <c r="C168" s="126"/>
      <c r="D168" s="126"/>
      <c r="E168" s="126"/>
      <c r="F168" s="126"/>
      <c r="G168" s="126"/>
      <c r="H168" s="126"/>
      <c r="I168" s="126"/>
      <c r="J168" s="218"/>
      <c r="K168" s="223" t="s">
        <v>32</v>
      </c>
      <c r="L168" s="224"/>
      <c r="M168" s="224"/>
      <c r="N168" s="224"/>
      <c r="O168" s="225"/>
      <c r="P168" s="226" t="s">
        <v>58</v>
      </c>
      <c r="Q168" s="227"/>
      <c r="R168" s="227"/>
      <c r="S168" s="228"/>
      <c r="T168" s="230" t="s">
        <v>166</v>
      </c>
      <c r="U168" s="231"/>
      <c r="V168" s="231"/>
      <c r="W168" s="232"/>
      <c r="X168" s="226" t="s">
        <v>24</v>
      </c>
      <c r="Y168" s="227"/>
      <c r="Z168" s="227"/>
      <c r="AA168" s="229"/>
      <c r="AB168" s="223" t="s">
        <v>32</v>
      </c>
      <c r="AC168" s="224"/>
      <c r="AD168" s="224"/>
      <c r="AE168" s="224"/>
      <c r="AF168" s="225"/>
      <c r="AG168" s="226" t="s">
        <v>58</v>
      </c>
      <c r="AH168" s="227"/>
      <c r="AI168" s="227"/>
      <c r="AJ168" s="227"/>
      <c r="AK168" s="228"/>
      <c r="AL168" s="230" t="s">
        <v>166</v>
      </c>
      <c r="AM168" s="231"/>
      <c r="AN168" s="231"/>
      <c r="AO168" s="232"/>
      <c r="AP168" s="226" t="s">
        <v>23</v>
      </c>
      <c r="AQ168" s="227"/>
      <c r="AR168" s="227"/>
      <c r="AS168" s="228"/>
      <c r="AT168" s="226" t="s">
        <v>24</v>
      </c>
      <c r="AU168" s="227"/>
      <c r="AV168" s="227"/>
      <c r="AW168" s="229"/>
    </row>
    <row r="169" spans="1:49" s="11" customFormat="1" ht="15.75" hidden="1">
      <c r="A169" s="133">
        <v>211</v>
      </c>
      <c r="B169" s="134"/>
      <c r="C169" s="135" t="s">
        <v>45</v>
      </c>
      <c r="D169" s="135"/>
      <c r="E169" s="135"/>
      <c r="F169" s="135"/>
      <c r="G169" s="135"/>
      <c r="H169" s="135"/>
      <c r="I169" s="135"/>
      <c r="J169" s="212"/>
      <c r="K169" s="191">
        <f aca="true" t="shared" si="2" ref="K169:K181">P169+T169+X169</f>
        <v>2000000</v>
      </c>
      <c r="L169" s="181"/>
      <c r="M169" s="181"/>
      <c r="N169" s="181"/>
      <c r="O169" s="182"/>
      <c r="P169" s="160">
        <v>2000000</v>
      </c>
      <c r="Q169" s="161"/>
      <c r="R169" s="161"/>
      <c r="S169" s="163"/>
      <c r="T169" s="160">
        <v>0</v>
      </c>
      <c r="U169" s="161"/>
      <c r="V169" s="161"/>
      <c r="W169" s="163"/>
      <c r="X169" s="160"/>
      <c r="Y169" s="161"/>
      <c r="Z169" s="161"/>
      <c r="AA169" s="162"/>
      <c r="AB169" s="191">
        <v>752669800</v>
      </c>
      <c r="AC169" s="181"/>
      <c r="AD169" s="181"/>
      <c r="AE169" s="181"/>
      <c r="AF169" s="182"/>
      <c r="AG169" s="160">
        <f aca="true" t="shared" si="3" ref="AG169:AG182">AB169-AL169-AP169-AT169</f>
        <v>403841943</v>
      </c>
      <c r="AH169" s="161"/>
      <c r="AI169" s="161"/>
      <c r="AJ169" s="161"/>
      <c r="AK169" s="163"/>
      <c r="AL169" s="160">
        <v>158901256</v>
      </c>
      <c r="AM169" s="161"/>
      <c r="AN169" s="161"/>
      <c r="AO169" s="163"/>
      <c r="AP169" s="160">
        <v>142753680</v>
      </c>
      <c r="AQ169" s="161"/>
      <c r="AR169" s="161"/>
      <c r="AS169" s="163"/>
      <c r="AT169" s="160">
        <v>47172921</v>
      </c>
      <c r="AU169" s="161"/>
      <c r="AV169" s="161"/>
      <c r="AW169" s="162"/>
    </row>
    <row r="170" spans="1:49" s="11" customFormat="1" ht="15.75" hidden="1">
      <c r="A170" s="133">
        <v>212</v>
      </c>
      <c r="B170" s="134"/>
      <c r="C170" s="135" t="s">
        <v>46</v>
      </c>
      <c r="D170" s="135"/>
      <c r="E170" s="135"/>
      <c r="F170" s="135"/>
      <c r="G170" s="135"/>
      <c r="H170" s="135"/>
      <c r="I170" s="135"/>
      <c r="J170" s="212"/>
      <c r="K170" s="191">
        <f t="shared" si="2"/>
        <v>0</v>
      </c>
      <c r="L170" s="181"/>
      <c r="M170" s="181"/>
      <c r="N170" s="181"/>
      <c r="O170" s="182"/>
      <c r="P170" s="160"/>
      <c r="Q170" s="161"/>
      <c r="R170" s="161"/>
      <c r="S170" s="163"/>
      <c r="T170" s="160"/>
      <c r="U170" s="161"/>
      <c r="V170" s="161"/>
      <c r="W170" s="163"/>
      <c r="X170" s="160"/>
      <c r="Y170" s="161"/>
      <c r="Z170" s="161"/>
      <c r="AA170" s="162"/>
      <c r="AB170" s="191">
        <v>4768500</v>
      </c>
      <c r="AC170" s="181"/>
      <c r="AD170" s="181"/>
      <c r="AE170" s="181"/>
      <c r="AF170" s="182"/>
      <c r="AG170" s="160">
        <f t="shared" si="3"/>
        <v>2227446</v>
      </c>
      <c r="AH170" s="161"/>
      <c r="AI170" s="161"/>
      <c r="AJ170" s="161"/>
      <c r="AK170" s="163"/>
      <c r="AL170" s="160">
        <v>1007454</v>
      </c>
      <c r="AM170" s="161"/>
      <c r="AN170" s="161"/>
      <c r="AO170" s="163"/>
      <c r="AP170" s="160">
        <v>1077326</v>
      </c>
      <c r="AQ170" s="161"/>
      <c r="AR170" s="161"/>
      <c r="AS170" s="163"/>
      <c r="AT170" s="160">
        <v>456274</v>
      </c>
      <c r="AU170" s="161"/>
      <c r="AV170" s="161"/>
      <c r="AW170" s="162"/>
    </row>
    <row r="171" spans="1:49" s="11" customFormat="1" ht="30.75" customHeight="1" hidden="1">
      <c r="A171" s="133">
        <v>213</v>
      </c>
      <c r="B171" s="134"/>
      <c r="C171" s="187" t="s">
        <v>47</v>
      </c>
      <c r="D171" s="187"/>
      <c r="E171" s="187"/>
      <c r="F171" s="187"/>
      <c r="G171" s="187"/>
      <c r="H171" s="187"/>
      <c r="I171" s="187"/>
      <c r="J171" s="219"/>
      <c r="K171" s="191">
        <f t="shared" si="2"/>
        <v>524000</v>
      </c>
      <c r="L171" s="181"/>
      <c r="M171" s="181"/>
      <c r="N171" s="181"/>
      <c r="O171" s="182"/>
      <c r="P171" s="160">
        <v>524000</v>
      </c>
      <c r="Q171" s="161"/>
      <c r="R171" s="161"/>
      <c r="S171" s="163"/>
      <c r="T171" s="160"/>
      <c r="U171" s="161"/>
      <c r="V171" s="161"/>
      <c r="W171" s="163"/>
      <c r="X171" s="160"/>
      <c r="Y171" s="161"/>
      <c r="Z171" s="161"/>
      <c r="AA171" s="162"/>
      <c r="AB171" s="191">
        <v>188540200</v>
      </c>
      <c r="AC171" s="181"/>
      <c r="AD171" s="181"/>
      <c r="AE171" s="181"/>
      <c r="AF171" s="182"/>
      <c r="AG171" s="160">
        <f t="shared" si="3"/>
        <v>101640990</v>
      </c>
      <c r="AH171" s="161"/>
      <c r="AI171" s="161"/>
      <c r="AJ171" s="161"/>
      <c r="AK171" s="163"/>
      <c r="AL171" s="160">
        <v>37949842</v>
      </c>
      <c r="AM171" s="161"/>
      <c r="AN171" s="161"/>
      <c r="AO171" s="163"/>
      <c r="AP171" s="160">
        <v>36791594</v>
      </c>
      <c r="AQ171" s="161"/>
      <c r="AR171" s="161"/>
      <c r="AS171" s="163"/>
      <c r="AT171" s="160">
        <v>12157774</v>
      </c>
      <c r="AU171" s="161"/>
      <c r="AV171" s="161"/>
      <c r="AW171" s="162"/>
    </row>
    <row r="172" spans="1:49" s="11" customFormat="1" ht="15.75" hidden="1">
      <c r="A172" s="133">
        <v>221</v>
      </c>
      <c r="B172" s="134"/>
      <c r="C172" s="135" t="s">
        <v>48</v>
      </c>
      <c r="D172" s="135"/>
      <c r="E172" s="135"/>
      <c r="F172" s="135"/>
      <c r="G172" s="135"/>
      <c r="H172" s="135"/>
      <c r="I172" s="135"/>
      <c r="J172" s="212"/>
      <c r="K172" s="191">
        <f t="shared" si="2"/>
        <v>1280000</v>
      </c>
      <c r="L172" s="181"/>
      <c r="M172" s="181"/>
      <c r="N172" s="181"/>
      <c r="O172" s="182"/>
      <c r="P172" s="160">
        <v>1200000</v>
      </c>
      <c r="Q172" s="161"/>
      <c r="R172" s="161"/>
      <c r="S172" s="163"/>
      <c r="T172" s="160">
        <v>80000</v>
      </c>
      <c r="U172" s="161"/>
      <c r="V172" s="161"/>
      <c r="W172" s="163"/>
      <c r="X172" s="160"/>
      <c r="Y172" s="161"/>
      <c r="Z172" s="161"/>
      <c r="AA172" s="162"/>
      <c r="AB172" s="191">
        <v>6056000</v>
      </c>
      <c r="AC172" s="181"/>
      <c r="AD172" s="181"/>
      <c r="AE172" s="181"/>
      <c r="AF172" s="182"/>
      <c r="AG172" s="160">
        <f t="shared" si="3"/>
        <v>6000000</v>
      </c>
      <c r="AH172" s="161"/>
      <c r="AI172" s="161"/>
      <c r="AJ172" s="161"/>
      <c r="AK172" s="163"/>
      <c r="AL172" s="160">
        <v>56000</v>
      </c>
      <c r="AM172" s="161"/>
      <c r="AN172" s="161"/>
      <c r="AO172" s="163"/>
      <c r="AP172" s="160"/>
      <c r="AQ172" s="161"/>
      <c r="AR172" s="161"/>
      <c r="AS172" s="163"/>
      <c r="AT172" s="160"/>
      <c r="AU172" s="161"/>
      <c r="AV172" s="161"/>
      <c r="AW172" s="162"/>
    </row>
    <row r="173" spans="1:49" s="11" customFormat="1" ht="15" customHeight="1" hidden="1">
      <c r="A173" s="133">
        <v>222</v>
      </c>
      <c r="B173" s="134"/>
      <c r="C173" s="135" t="s">
        <v>49</v>
      </c>
      <c r="D173" s="135"/>
      <c r="E173" s="135"/>
      <c r="F173" s="135"/>
      <c r="G173" s="135"/>
      <c r="H173" s="135"/>
      <c r="I173" s="135"/>
      <c r="J173" s="212"/>
      <c r="K173" s="191">
        <f t="shared" si="2"/>
        <v>220000</v>
      </c>
      <c r="L173" s="181"/>
      <c r="M173" s="181"/>
      <c r="N173" s="181"/>
      <c r="O173" s="182"/>
      <c r="P173" s="160">
        <v>200000</v>
      </c>
      <c r="Q173" s="161"/>
      <c r="R173" s="161"/>
      <c r="S173" s="163"/>
      <c r="T173" s="160">
        <v>20000</v>
      </c>
      <c r="U173" s="161"/>
      <c r="V173" s="161"/>
      <c r="W173" s="163"/>
      <c r="X173" s="160"/>
      <c r="Y173" s="161"/>
      <c r="Z173" s="161"/>
      <c r="AA173" s="162"/>
      <c r="AB173" s="191">
        <v>145200</v>
      </c>
      <c r="AC173" s="181"/>
      <c r="AD173" s="181"/>
      <c r="AE173" s="181"/>
      <c r="AF173" s="182"/>
      <c r="AG173" s="160">
        <f t="shared" si="3"/>
        <v>96700</v>
      </c>
      <c r="AH173" s="161"/>
      <c r="AI173" s="161"/>
      <c r="AJ173" s="161"/>
      <c r="AK173" s="163"/>
      <c r="AL173" s="160"/>
      <c r="AM173" s="161"/>
      <c r="AN173" s="161"/>
      <c r="AO173" s="163"/>
      <c r="AP173" s="160">
        <v>48500</v>
      </c>
      <c r="AQ173" s="161"/>
      <c r="AR173" s="161"/>
      <c r="AS173" s="163"/>
      <c r="AT173" s="160"/>
      <c r="AU173" s="161"/>
      <c r="AV173" s="161"/>
      <c r="AW173" s="162"/>
    </row>
    <row r="174" spans="1:49" s="11" customFormat="1" ht="15.75" customHeight="1" hidden="1">
      <c r="A174" s="133">
        <v>223</v>
      </c>
      <c r="B174" s="134"/>
      <c r="C174" s="135" t="s">
        <v>50</v>
      </c>
      <c r="D174" s="135"/>
      <c r="E174" s="135"/>
      <c r="F174" s="135"/>
      <c r="G174" s="135"/>
      <c r="H174" s="135"/>
      <c r="I174" s="135"/>
      <c r="J174" s="212"/>
      <c r="K174" s="191">
        <f t="shared" si="2"/>
        <v>10000000</v>
      </c>
      <c r="L174" s="181"/>
      <c r="M174" s="181"/>
      <c r="N174" s="181"/>
      <c r="O174" s="182"/>
      <c r="P174" s="160">
        <v>9000000</v>
      </c>
      <c r="Q174" s="161"/>
      <c r="R174" s="161"/>
      <c r="S174" s="163"/>
      <c r="T174" s="160">
        <v>1000000</v>
      </c>
      <c r="U174" s="161"/>
      <c r="V174" s="161"/>
      <c r="W174" s="163"/>
      <c r="X174" s="160"/>
      <c r="Y174" s="161"/>
      <c r="Z174" s="161"/>
      <c r="AA174" s="162"/>
      <c r="AB174" s="191">
        <v>56436000</v>
      </c>
      <c r="AC174" s="181"/>
      <c r="AD174" s="181"/>
      <c r="AE174" s="181"/>
      <c r="AF174" s="182"/>
      <c r="AG174" s="160">
        <f t="shared" si="3"/>
        <v>33244960</v>
      </c>
      <c r="AH174" s="161"/>
      <c r="AI174" s="161"/>
      <c r="AJ174" s="161"/>
      <c r="AK174" s="163"/>
      <c r="AL174" s="160">
        <v>15784960</v>
      </c>
      <c r="AM174" s="161"/>
      <c r="AN174" s="161"/>
      <c r="AO174" s="163"/>
      <c r="AP174" s="160">
        <v>7044800</v>
      </c>
      <c r="AQ174" s="161"/>
      <c r="AR174" s="161"/>
      <c r="AS174" s="163"/>
      <c r="AT174" s="160">
        <v>361280</v>
      </c>
      <c r="AU174" s="161"/>
      <c r="AV174" s="161"/>
      <c r="AW174" s="162"/>
    </row>
    <row r="175" spans="1:49" s="11" customFormat="1" ht="32.25" customHeight="1" hidden="1">
      <c r="A175" s="133">
        <v>224</v>
      </c>
      <c r="B175" s="134"/>
      <c r="C175" s="135" t="s">
        <v>51</v>
      </c>
      <c r="D175" s="135"/>
      <c r="E175" s="135"/>
      <c r="F175" s="135"/>
      <c r="G175" s="135"/>
      <c r="H175" s="135"/>
      <c r="I175" s="135"/>
      <c r="J175" s="212"/>
      <c r="K175" s="191">
        <f t="shared" si="2"/>
        <v>0</v>
      </c>
      <c r="L175" s="181"/>
      <c r="M175" s="181"/>
      <c r="N175" s="181"/>
      <c r="O175" s="182"/>
      <c r="P175" s="160"/>
      <c r="Q175" s="161"/>
      <c r="R175" s="161"/>
      <c r="S175" s="163"/>
      <c r="T175" s="160"/>
      <c r="U175" s="161"/>
      <c r="V175" s="161"/>
      <c r="W175" s="163"/>
      <c r="X175" s="160"/>
      <c r="Y175" s="161"/>
      <c r="Z175" s="161"/>
      <c r="AA175" s="162"/>
      <c r="AB175" s="191"/>
      <c r="AC175" s="181"/>
      <c r="AD175" s="181"/>
      <c r="AE175" s="181"/>
      <c r="AF175" s="182"/>
      <c r="AG175" s="160">
        <f t="shared" si="3"/>
        <v>0</v>
      </c>
      <c r="AH175" s="161"/>
      <c r="AI175" s="161"/>
      <c r="AJ175" s="161"/>
      <c r="AK175" s="163"/>
      <c r="AL175" s="160"/>
      <c r="AM175" s="161"/>
      <c r="AN175" s="161"/>
      <c r="AO175" s="163"/>
      <c r="AP175" s="160"/>
      <c r="AQ175" s="161"/>
      <c r="AR175" s="161"/>
      <c r="AS175" s="163"/>
      <c r="AT175" s="160"/>
      <c r="AU175" s="161"/>
      <c r="AV175" s="161"/>
      <c r="AW175" s="162"/>
    </row>
    <row r="176" spans="1:49" s="11" customFormat="1" ht="33" customHeight="1" hidden="1">
      <c r="A176" s="133">
        <v>225</v>
      </c>
      <c r="B176" s="134"/>
      <c r="C176" s="135" t="s">
        <v>52</v>
      </c>
      <c r="D176" s="135"/>
      <c r="E176" s="135"/>
      <c r="F176" s="135"/>
      <c r="G176" s="135"/>
      <c r="H176" s="135"/>
      <c r="I176" s="135"/>
      <c r="J176" s="212"/>
      <c r="K176" s="191">
        <f t="shared" si="2"/>
        <v>1650000</v>
      </c>
      <c r="L176" s="181"/>
      <c r="M176" s="181"/>
      <c r="N176" s="181"/>
      <c r="O176" s="182"/>
      <c r="P176" s="160">
        <v>800000</v>
      </c>
      <c r="Q176" s="161"/>
      <c r="R176" s="161"/>
      <c r="S176" s="163"/>
      <c r="T176" s="160">
        <v>850000</v>
      </c>
      <c r="U176" s="161"/>
      <c r="V176" s="161"/>
      <c r="W176" s="163"/>
      <c r="X176" s="160"/>
      <c r="Y176" s="161"/>
      <c r="Z176" s="161"/>
      <c r="AA176" s="162"/>
      <c r="AB176" s="191">
        <v>40821600</v>
      </c>
      <c r="AC176" s="181"/>
      <c r="AD176" s="181"/>
      <c r="AE176" s="181"/>
      <c r="AF176" s="182"/>
      <c r="AG176" s="160">
        <f t="shared" si="3"/>
        <v>27570910</v>
      </c>
      <c r="AH176" s="161"/>
      <c r="AI176" s="161"/>
      <c r="AJ176" s="161"/>
      <c r="AK176" s="163"/>
      <c r="AL176" s="160">
        <v>9878827</v>
      </c>
      <c r="AM176" s="161"/>
      <c r="AN176" s="161"/>
      <c r="AO176" s="163"/>
      <c r="AP176" s="160">
        <v>3237153</v>
      </c>
      <c r="AQ176" s="161"/>
      <c r="AR176" s="161"/>
      <c r="AS176" s="163"/>
      <c r="AT176" s="160">
        <v>134710</v>
      </c>
      <c r="AU176" s="161"/>
      <c r="AV176" s="161"/>
      <c r="AW176" s="162"/>
    </row>
    <row r="177" spans="1:49" s="11" customFormat="1" ht="16.5" customHeight="1" hidden="1">
      <c r="A177" s="133">
        <v>226</v>
      </c>
      <c r="B177" s="134"/>
      <c r="C177" s="135" t="s">
        <v>53</v>
      </c>
      <c r="D177" s="135"/>
      <c r="E177" s="135"/>
      <c r="F177" s="135"/>
      <c r="G177" s="135"/>
      <c r="H177" s="135"/>
      <c r="I177" s="135"/>
      <c r="J177" s="212"/>
      <c r="K177" s="191">
        <f t="shared" si="2"/>
        <v>1228600</v>
      </c>
      <c r="L177" s="181"/>
      <c r="M177" s="181"/>
      <c r="N177" s="181"/>
      <c r="O177" s="182"/>
      <c r="P177" s="160">
        <v>300000</v>
      </c>
      <c r="Q177" s="161"/>
      <c r="R177" s="161"/>
      <c r="S177" s="163"/>
      <c r="T177" s="160">
        <v>928600</v>
      </c>
      <c r="U177" s="161"/>
      <c r="V177" s="161"/>
      <c r="W177" s="163"/>
      <c r="X177" s="160"/>
      <c r="Y177" s="161"/>
      <c r="Z177" s="161"/>
      <c r="AA177" s="162"/>
      <c r="AB177" s="191">
        <v>34772600</v>
      </c>
      <c r="AC177" s="181"/>
      <c r="AD177" s="181"/>
      <c r="AE177" s="181"/>
      <c r="AF177" s="182"/>
      <c r="AG177" s="160">
        <f t="shared" si="3"/>
        <v>18675800</v>
      </c>
      <c r="AH177" s="161"/>
      <c r="AI177" s="161"/>
      <c r="AJ177" s="161"/>
      <c r="AK177" s="163"/>
      <c r="AL177" s="160">
        <v>7680264</v>
      </c>
      <c r="AM177" s="161"/>
      <c r="AN177" s="161"/>
      <c r="AO177" s="163"/>
      <c r="AP177" s="160">
        <v>6580478</v>
      </c>
      <c r="AQ177" s="161"/>
      <c r="AR177" s="161"/>
      <c r="AS177" s="163"/>
      <c r="AT177" s="160">
        <v>1836058</v>
      </c>
      <c r="AU177" s="161"/>
      <c r="AV177" s="161"/>
      <c r="AW177" s="162"/>
    </row>
    <row r="178" spans="1:49" s="11" customFormat="1" ht="21.75" customHeight="1" hidden="1">
      <c r="A178" s="133">
        <v>262</v>
      </c>
      <c r="B178" s="134"/>
      <c r="C178" s="135" t="s">
        <v>54</v>
      </c>
      <c r="D178" s="135"/>
      <c r="E178" s="135"/>
      <c r="F178" s="135"/>
      <c r="G178" s="135"/>
      <c r="H178" s="135"/>
      <c r="I178" s="135"/>
      <c r="J178" s="212"/>
      <c r="K178" s="191">
        <f t="shared" si="2"/>
        <v>0</v>
      </c>
      <c r="L178" s="181"/>
      <c r="M178" s="181"/>
      <c r="N178" s="181"/>
      <c r="O178" s="182"/>
      <c r="P178" s="160"/>
      <c r="Q178" s="161"/>
      <c r="R178" s="161"/>
      <c r="S178" s="163"/>
      <c r="T178" s="160"/>
      <c r="U178" s="161"/>
      <c r="V178" s="161"/>
      <c r="W178" s="163"/>
      <c r="X178" s="160"/>
      <c r="Y178" s="161"/>
      <c r="Z178" s="161"/>
      <c r="AA178" s="162"/>
      <c r="AB178" s="191">
        <v>20995100</v>
      </c>
      <c r="AC178" s="181"/>
      <c r="AD178" s="181"/>
      <c r="AE178" s="181"/>
      <c r="AF178" s="182"/>
      <c r="AG178" s="160">
        <f t="shared" si="3"/>
        <v>10239252</v>
      </c>
      <c r="AH178" s="161"/>
      <c r="AI178" s="161"/>
      <c r="AJ178" s="161"/>
      <c r="AK178" s="163"/>
      <c r="AL178" s="160">
        <v>4078806</v>
      </c>
      <c r="AM178" s="161"/>
      <c r="AN178" s="161"/>
      <c r="AO178" s="163"/>
      <c r="AP178" s="160">
        <v>5711874</v>
      </c>
      <c r="AQ178" s="161"/>
      <c r="AR178" s="161"/>
      <c r="AS178" s="163"/>
      <c r="AT178" s="160">
        <v>965168</v>
      </c>
      <c r="AU178" s="161"/>
      <c r="AV178" s="161"/>
      <c r="AW178" s="162"/>
    </row>
    <row r="179" spans="1:49" s="11" customFormat="1" ht="15.75" hidden="1">
      <c r="A179" s="133">
        <v>290</v>
      </c>
      <c r="B179" s="134"/>
      <c r="C179" s="135" t="s">
        <v>46</v>
      </c>
      <c r="D179" s="135"/>
      <c r="E179" s="135"/>
      <c r="F179" s="135"/>
      <c r="G179" s="135"/>
      <c r="H179" s="135"/>
      <c r="I179" s="135"/>
      <c r="J179" s="212"/>
      <c r="K179" s="191">
        <f t="shared" si="2"/>
        <v>0</v>
      </c>
      <c r="L179" s="181"/>
      <c r="M179" s="181"/>
      <c r="N179" s="181"/>
      <c r="O179" s="182"/>
      <c r="P179" s="160"/>
      <c r="Q179" s="161"/>
      <c r="R179" s="161"/>
      <c r="S179" s="163"/>
      <c r="T179" s="160"/>
      <c r="U179" s="161"/>
      <c r="V179" s="161"/>
      <c r="W179" s="163"/>
      <c r="X179" s="160"/>
      <c r="Y179" s="161"/>
      <c r="Z179" s="161"/>
      <c r="AA179" s="162"/>
      <c r="AB179" s="191">
        <v>306000800</v>
      </c>
      <c r="AC179" s="181"/>
      <c r="AD179" s="181"/>
      <c r="AE179" s="181"/>
      <c r="AF179" s="182"/>
      <c r="AG179" s="160">
        <f t="shared" si="3"/>
        <v>165134980</v>
      </c>
      <c r="AH179" s="161"/>
      <c r="AI179" s="161"/>
      <c r="AJ179" s="161"/>
      <c r="AK179" s="163"/>
      <c r="AL179" s="160">
        <v>69715832</v>
      </c>
      <c r="AM179" s="161"/>
      <c r="AN179" s="161"/>
      <c r="AO179" s="163"/>
      <c r="AP179" s="160">
        <v>55527153</v>
      </c>
      <c r="AQ179" s="161"/>
      <c r="AR179" s="161"/>
      <c r="AS179" s="163"/>
      <c r="AT179" s="160">
        <v>15622835</v>
      </c>
      <c r="AU179" s="161"/>
      <c r="AV179" s="161"/>
      <c r="AW179" s="162"/>
    </row>
    <row r="180" spans="1:49" s="11" customFormat="1" ht="21" customHeight="1" hidden="1">
      <c r="A180" s="133">
        <v>310</v>
      </c>
      <c r="B180" s="134"/>
      <c r="C180" s="135" t="s">
        <v>55</v>
      </c>
      <c r="D180" s="135"/>
      <c r="E180" s="135"/>
      <c r="F180" s="135"/>
      <c r="G180" s="135"/>
      <c r="H180" s="135"/>
      <c r="I180" s="135"/>
      <c r="J180" s="212"/>
      <c r="K180" s="191">
        <f t="shared" si="2"/>
        <v>926000</v>
      </c>
      <c r="L180" s="181"/>
      <c r="M180" s="181"/>
      <c r="N180" s="181"/>
      <c r="O180" s="182"/>
      <c r="P180" s="160">
        <v>276000</v>
      </c>
      <c r="Q180" s="161"/>
      <c r="R180" s="161"/>
      <c r="S180" s="163"/>
      <c r="T180" s="160">
        <v>650000</v>
      </c>
      <c r="U180" s="161"/>
      <c r="V180" s="161"/>
      <c r="W180" s="163"/>
      <c r="X180" s="160"/>
      <c r="Y180" s="161"/>
      <c r="Z180" s="161"/>
      <c r="AA180" s="162"/>
      <c r="AB180" s="191">
        <v>57913700</v>
      </c>
      <c r="AC180" s="181"/>
      <c r="AD180" s="181"/>
      <c r="AE180" s="181"/>
      <c r="AF180" s="182"/>
      <c r="AG180" s="160">
        <f t="shared" si="3"/>
        <v>38809710</v>
      </c>
      <c r="AH180" s="161"/>
      <c r="AI180" s="161"/>
      <c r="AJ180" s="161"/>
      <c r="AK180" s="163"/>
      <c r="AL180" s="160">
        <v>9139738</v>
      </c>
      <c r="AM180" s="161"/>
      <c r="AN180" s="161"/>
      <c r="AO180" s="163"/>
      <c r="AP180" s="160">
        <v>7779290</v>
      </c>
      <c r="AQ180" s="161"/>
      <c r="AR180" s="161"/>
      <c r="AS180" s="163"/>
      <c r="AT180" s="160">
        <v>2184962</v>
      </c>
      <c r="AU180" s="161"/>
      <c r="AV180" s="161"/>
      <c r="AW180" s="162"/>
    </row>
    <row r="181" spans="1:49" s="11" customFormat="1" ht="20.25" customHeight="1" hidden="1">
      <c r="A181" s="133">
        <v>340</v>
      </c>
      <c r="B181" s="134"/>
      <c r="C181" s="135" t="s">
        <v>56</v>
      </c>
      <c r="D181" s="135"/>
      <c r="E181" s="135"/>
      <c r="F181" s="135"/>
      <c r="G181" s="135"/>
      <c r="H181" s="135"/>
      <c r="I181" s="135"/>
      <c r="J181" s="212"/>
      <c r="K181" s="191">
        <f t="shared" si="2"/>
        <v>6313185</v>
      </c>
      <c r="L181" s="181"/>
      <c r="M181" s="181"/>
      <c r="N181" s="181"/>
      <c r="O181" s="182"/>
      <c r="P181" s="160">
        <v>3700000</v>
      </c>
      <c r="Q181" s="161"/>
      <c r="R181" s="161"/>
      <c r="S181" s="163"/>
      <c r="T181" s="160">
        <v>2300000</v>
      </c>
      <c r="U181" s="161"/>
      <c r="V181" s="161"/>
      <c r="W181" s="163"/>
      <c r="X181" s="160">
        <v>313185</v>
      </c>
      <c r="Y181" s="161"/>
      <c r="Z181" s="161"/>
      <c r="AA181" s="162"/>
      <c r="AB181" s="191">
        <v>5491500</v>
      </c>
      <c r="AC181" s="181"/>
      <c r="AD181" s="181"/>
      <c r="AE181" s="181"/>
      <c r="AF181" s="182"/>
      <c r="AG181" s="160">
        <f t="shared" si="3"/>
        <v>0</v>
      </c>
      <c r="AH181" s="161"/>
      <c r="AI181" s="161"/>
      <c r="AJ181" s="161"/>
      <c r="AK181" s="163"/>
      <c r="AL181" s="160">
        <v>5491500</v>
      </c>
      <c r="AM181" s="161"/>
      <c r="AN181" s="161"/>
      <c r="AO181" s="163"/>
      <c r="AP181" s="160"/>
      <c r="AQ181" s="161"/>
      <c r="AR181" s="161"/>
      <c r="AS181" s="163"/>
      <c r="AT181" s="160"/>
      <c r="AU181" s="161"/>
      <c r="AV181" s="161"/>
      <c r="AW181" s="162"/>
    </row>
    <row r="182" spans="1:49" s="11" customFormat="1" ht="16.5" hidden="1" thickBot="1">
      <c r="A182" s="184">
        <v>900</v>
      </c>
      <c r="B182" s="185"/>
      <c r="C182" s="186" t="s">
        <v>57</v>
      </c>
      <c r="D182" s="186"/>
      <c r="E182" s="186"/>
      <c r="F182" s="186"/>
      <c r="G182" s="186"/>
      <c r="H182" s="186"/>
      <c r="I182" s="186"/>
      <c r="J182" s="213"/>
      <c r="K182" s="196">
        <f>SUM(K169:K181)</f>
        <v>24141785</v>
      </c>
      <c r="L182" s="172"/>
      <c r="M182" s="172"/>
      <c r="N182" s="172"/>
      <c r="O182" s="173"/>
      <c r="P182" s="192">
        <f>SUM(P169:P181)</f>
        <v>18000000</v>
      </c>
      <c r="Q182" s="193"/>
      <c r="R182" s="193"/>
      <c r="S182" s="194"/>
      <c r="T182" s="192">
        <f>SUM(T169:T181)</f>
        <v>5828600</v>
      </c>
      <c r="U182" s="193"/>
      <c r="V182" s="193"/>
      <c r="W182" s="194"/>
      <c r="X182" s="192">
        <f>SUM(X169:X181)</f>
        <v>313185</v>
      </c>
      <c r="Y182" s="193"/>
      <c r="Z182" s="193"/>
      <c r="AA182" s="195"/>
      <c r="AB182" s="196">
        <f>SUM(AB169:AB181)</f>
        <v>1474611000</v>
      </c>
      <c r="AC182" s="172"/>
      <c r="AD182" s="172"/>
      <c r="AE182" s="172"/>
      <c r="AF182" s="173"/>
      <c r="AG182" s="192">
        <f t="shared" si="3"/>
        <v>807482691</v>
      </c>
      <c r="AH182" s="193"/>
      <c r="AI182" s="193"/>
      <c r="AJ182" s="193"/>
      <c r="AK182" s="194"/>
      <c r="AL182" s="192">
        <f>SUM(AL169:AL181)</f>
        <v>319684479</v>
      </c>
      <c r="AM182" s="193"/>
      <c r="AN182" s="193"/>
      <c r="AO182" s="194"/>
      <c r="AP182" s="192">
        <f>SUM(AP169:AP181)</f>
        <v>266551848</v>
      </c>
      <c r="AQ182" s="193"/>
      <c r="AR182" s="193"/>
      <c r="AS182" s="194"/>
      <c r="AT182" s="192">
        <f>SUM(AT169:AT181)</f>
        <v>80891982</v>
      </c>
      <c r="AU182" s="193"/>
      <c r="AV182" s="193"/>
      <c r="AW182" s="195"/>
    </row>
    <row r="183" spans="11:51" ht="16.5" hidden="1" thickBot="1"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</row>
    <row r="184" spans="1:45" ht="13.5" customHeight="1" hidden="1">
      <c r="A184" s="214" t="s">
        <v>61</v>
      </c>
      <c r="B184" s="215"/>
      <c r="C184" s="215"/>
      <c r="D184" s="215"/>
      <c r="E184" s="215"/>
      <c r="F184" s="215"/>
      <c r="G184" s="215"/>
      <c r="H184" s="215"/>
      <c r="I184" s="215"/>
      <c r="J184" s="216"/>
      <c r="K184" s="220" t="s">
        <v>37</v>
      </c>
      <c r="L184" s="221"/>
      <c r="M184" s="221"/>
      <c r="N184" s="221"/>
      <c r="O184" s="221"/>
      <c r="P184" s="221"/>
      <c r="Q184" s="221"/>
      <c r="R184" s="221"/>
      <c r="S184" s="221"/>
      <c r="T184" s="221"/>
      <c r="U184" s="221"/>
      <c r="V184" s="221"/>
      <c r="W184" s="222"/>
      <c r="X184" s="220" t="s">
        <v>36</v>
      </c>
      <c r="Y184" s="221"/>
      <c r="Z184" s="221"/>
      <c r="AA184" s="221"/>
      <c r="AB184" s="221"/>
      <c r="AC184" s="221"/>
      <c r="AD184" s="221"/>
      <c r="AE184" s="221"/>
      <c r="AF184" s="221"/>
      <c r="AG184" s="221"/>
      <c r="AH184" s="221"/>
      <c r="AI184" s="221"/>
      <c r="AJ184" s="221"/>
      <c r="AK184" s="221"/>
      <c r="AL184" s="221"/>
      <c r="AM184" s="221"/>
      <c r="AN184" s="221"/>
      <c r="AO184" s="221"/>
      <c r="AP184" s="221"/>
      <c r="AQ184" s="221"/>
      <c r="AR184" s="221"/>
      <c r="AS184" s="222"/>
    </row>
    <row r="185" spans="1:45" s="11" customFormat="1" ht="21.75" customHeight="1" hidden="1">
      <c r="A185" s="217"/>
      <c r="B185" s="126"/>
      <c r="C185" s="126"/>
      <c r="D185" s="126"/>
      <c r="E185" s="126"/>
      <c r="F185" s="126"/>
      <c r="G185" s="126"/>
      <c r="H185" s="126"/>
      <c r="I185" s="126"/>
      <c r="J185" s="218"/>
      <c r="K185" s="223" t="s">
        <v>32</v>
      </c>
      <c r="L185" s="224"/>
      <c r="M185" s="224"/>
      <c r="N185" s="224"/>
      <c r="O185" s="225"/>
      <c r="P185" s="226" t="s">
        <v>58</v>
      </c>
      <c r="Q185" s="227"/>
      <c r="R185" s="227"/>
      <c r="S185" s="228"/>
      <c r="T185" s="226" t="s">
        <v>23</v>
      </c>
      <c r="U185" s="227"/>
      <c r="V185" s="227"/>
      <c r="W185" s="229"/>
      <c r="X185" s="223" t="s">
        <v>32</v>
      </c>
      <c r="Y185" s="224"/>
      <c r="Z185" s="224"/>
      <c r="AA185" s="224"/>
      <c r="AB185" s="225"/>
      <c r="AC185" s="226" t="s">
        <v>58</v>
      </c>
      <c r="AD185" s="227"/>
      <c r="AE185" s="227"/>
      <c r="AF185" s="227"/>
      <c r="AG185" s="228"/>
      <c r="AH185" s="230" t="s">
        <v>166</v>
      </c>
      <c r="AI185" s="231"/>
      <c r="AJ185" s="231"/>
      <c r="AK185" s="232"/>
      <c r="AL185" s="226" t="s">
        <v>23</v>
      </c>
      <c r="AM185" s="227"/>
      <c r="AN185" s="227"/>
      <c r="AO185" s="228"/>
      <c r="AP185" s="54" t="s">
        <v>24</v>
      </c>
      <c r="AQ185" s="55"/>
      <c r="AR185" s="55"/>
      <c r="AS185" s="56"/>
    </row>
    <row r="186" spans="1:45" s="11" customFormat="1" ht="15.75" hidden="1">
      <c r="A186" s="133">
        <v>211</v>
      </c>
      <c r="B186" s="134"/>
      <c r="C186" s="135" t="s">
        <v>45</v>
      </c>
      <c r="D186" s="135"/>
      <c r="E186" s="135"/>
      <c r="F186" s="135"/>
      <c r="G186" s="135"/>
      <c r="H186" s="135"/>
      <c r="I186" s="135"/>
      <c r="J186" s="212"/>
      <c r="K186" s="191">
        <f>P186+T186</f>
        <v>5497100</v>
      </c>
      <c r="L186" s="181"/>
      <c r="M186" s="181"/>
      <c r="N186" s="181"/>
      <c r="O186" s="182"/>
      <c r="P186" s="160">
        <v>4203661</v>
      </c>
      <c r="Q186" s="161"/>
      <c r="R186" s="161"/>
      <c r="S186" s="163"/>
      <c r="T186" s="160">
        <v>1293439</v>
      </c>
      <c r="U186" s="161"/>
      <c r="V186" s="161"/>
      <c r="W186" s="162"/>
      <c r="X186" s="191">
        <f>AC186+AH186+AL186+AP186</f>
        <v>107604300</v>
      </c>
      <c r="Y186" s="181"/>
      <c r="Z186" s="181"/>
      <c r="AA186" s="181"/>
      <c r="AB186" s="182"/>
      <c r="AC186" s="160">
        <v>82754420</v>
      </c>
      <c r="AD186" s="161"/>
      <c r="AE186" s="161"/>
      <c r="AF186" s="161"/>
      <c r="AG186" s="163"/>
      <c r="AH186" s="160">
        <f>19067971+4051901</f>
        <v>23119872</v>
      </c>
      <c r="AI186" s="161"/>
      <c r="AJ186" s="161"/>
      <c r="AK186" s="163"/>
      <c r="AL186" s="160">
        <v>1676009</v>
      </c>
      <c r="AM186" s="161"/>
      <c r="AN186" s="161"/>
      <c r="AO186" s="163"/>
      <c r="AP186" s="160">
        <v>53999</v>
      </c>
      <c r="AQ186" s="161"/>
      <c r="AR186" s="161"/>
      <c r="AS186" s="162"/>
    </row>
    <row r="187" spans="1:45" s="11" customFormat="1" ht="15.75" hidden="1">
      <c r="A187" s="133">
        <v>212</v>
      </c>
      <c r="B187" s="134"/>
      <c r="C187" s="135" t="s">
        <v>46</v>
      </c>
      <c r="D187" s="135"/>
      <c r="E187" s="135"/>
      <c r="F187" s="135"/>
      <c r="G187" s="135"/>
      <c r="H187" s="135"/>
      <c r="I187" s="135"/>
      <c r="J187" s="212"/>
      <c r="K187" s="191">
        <f aca="true" t="shared" si="4" ref="K187:K199">P187+T187</f>
        <v>19600</v>
      </c>
      <c r="L187" s="181"/>
      <c r="M187" s="181"/>
      <c r="N187" s="181"/>
      <c r="O187" s="182"/>
      <c r="P187" s="160">
        <v>15000</v>
      </c>
      <c r="Q187" s="161"/>
      <c r="R187" s="161"/>
      <c r="S187" s="163"/>
      <c r="T187" s="160">
        <v>4600</v>
      </c>
      <c r="U187" s="161"/>
      <c r="V187" s="161"/>
      <c r="W187" s="162"/>
      <c r="X187" s="191">
        <f aca="true" t="shared" si="5" ref="X187:X198">AC187+AH187+AL187+AP187</f>
        <v>184000</v>
      </c>
      <c r="Y187" s="181"/>
      <c r="Z187" s="181"/>
      <c r="AA187" s="181"/>
      <c r="AB187" s="182"/>
      <c r="AC187" s="160">
        <v>164400</v>
      </c>
      <c r="AD187" s="161"/>
      <c r="AE187" s="161"/>
      <c r="AF187" s="161"/>
      <c r="AG187" s="163"/>
      <c r="AH187" s="160">
        <f>16000+3600</f>
        <v>19600</v>
      </c>
      <c r="AI187" s="161"/>
      <c r="AJ187" s="161"/>
      <c r="AK187" s="163"/>
      <c r="AL187" s="160"/>
      <c r="AM187" s="161"/>
      <c r="AN187" s="161"/>
      <c r="AO187" s="163"/>
      <c r="AP187" s="160"/>
      <c r="AQ187" s="161"/>
      <c r="AR187" s="161"/>
      <c r="AS187" s="162"/>
    </row>
    <row r="188" spans="1:45" s="11" customFormat="1" ht="30.75" customHeight="1" hidden="1">
      <c r="A188" s="133">
        <v>213</v>
      </c>
      <c r="B188" s="134"/>
      <c r="C188" s="187" t="s">
        <v>47</v>
      </c>
      <c r="D188" s="187"/>
      <c r="E188" s="187"/>
      <c r="F188" s="187"/>
      <c r="G188" s="187"/>
      <c r="H188" s="187"/>
      <c r="I188" s="187"/>
      <c r="J188" s="219"/>
      <c r="K188" s="191">
        <f t="shared" si="4"/>
        <v>1440200</v>
      </c>
      <c r="L188" s="181"/>
      <c r="M188" s="181"/>
      <c r="N188" s="181"/>
      <c r="O188" s="182"/>
      <c r="P188" s="160">
        <v>1101329</v>
      </c>
      <c r="Q188" s="161"/>
      <c r="R188" s="161"/>
      <c r="S188" s="163"/>
      <c r="T188" s="160">
        <v>338871</v>
      </c>
      <c r="U188" s="161"/>
      <c r="V188" s="161"/>
      <c r="W188" s="162"/>
      <c r="X188" s="191">
        <f t="shared" si="5"/>
        <v>28192500</v>
      </c>
      <c r="Y188" s="181"/>
      <c r="Z188" s="181"/>
      <c r="AA188" s="181"/>
      <c r="AB188" s="182"/>
      <c r="AC188" s="160">
        <v>21681802</v>
      </c>
      <c r="AD188" s="161"/>
      <c r="AE188" s="161"/>
      <c r="AF188" s="161"/>
      <c r="AG188" s="163"/>
      <c r="AH188" s="160">
        <f>4995831+1061604</f>
        <v>6057435</v>
      </c>
      <c r="AI188" s="161"/>
      <c r="AJ188" s="161"/>
      <c r="AK188" s="163"/>
      <c r="AL188" s="160">
        <v>439115</v>
      </c>
      <c r="AM188" s="161"/>
      <c r="AN188" s="161"/>
      <c r="AO188" s="163"/>
      <c r="AP188" s="160">
        <v>14148</v>
      </c>
      <c r="AQ188" s="161"/>
      <c r="AR188" s="161"/>
      <c r="AS188" s="162"/>
    </row>
    <row r="189" spans="1:45" s="11" customFormat="1" ht="15.75" hidden="1">
      <c r="A189" s="133">
        <v>221</v>
      </c>
      <c r="B189" s="134"/>
      <c r="C189" s="135" t="s">
        <v>48</v>
      </c>
      <c r="D189" s="135"/>
      <c r="E189" s="135"/>
      <c r="F189" s="135"/>
      <c r="G189" s="135"/>
      <c r="H189" s="135"/>
      <c r="I189" s="135"/>
      <c r="J189" s="212"/>
      <c r="K189" s="191">
        <f t="shared" si="4"/>
        <v>50000</v>
      </c>
      <c r="L189" s="181"/>
      <c r="M189" s="181"/>
      <c r="N189" s="181"/>
      <c r="O189" s="182"/>
      <c r="P189" s="160">
        <v>38230</v>
      </c>
      <c r="Q189" s="161"/>
      <c r="R189" s="161"/>
      <c r="S189" s="163"/>
      <c r="T189" s="160">
        <v>11770</v>
      </c>
      <c r="U189" s="161"/>
      <c r="V189" s="161"/>
      <c r="W189" s="162"/>
      <c r="X189" s="191">
        <f t="shared" si="5"/>
        <v>50000</v>
      </c>
      <c r="Y189" s="181"/>
      <c r="Z189" s="181"/>
      <c r="AA189" s="181"/>
      <c r="AB189" s="182"/>
      <c r="AC189" s="160">
        <v>42250</v>
      </c>
      <c r="AD189" s="161"/>
      <c r="AE189" s="161"/>
      <c r="AF189" s="161"/>
      <c r="AG189" s="163"/>
      <c r="AH189" s="160">
        <f>6300+1450</f>
        <v>7750</v>
      </c>
      <c r="AI189" s="161"/>
      <c r="AJ189" s="161"/>
      <c r="AK189" s="163"/>
      <c r="AL189" s="160"/>
      <c r="AM189" s="161"/>
      <c r="AN189" s="161"/>
      <c r="AO189" s="163"/>
      <c r="AP189" s="160"/>
      <c r="AQ189" s="161"/>
      <c r="AR189" s="161"/>
      <c r="AS189" s="162"/>
    </row>
    <row r="190" spans="1:45" s="11" customFormat="1" ht="15" customHeight="1" hidden="1">
      <c r="A190" s="133">
        <v>222</v>
      </c>
      <c r="B190" s="134"/>
      <c r="C190" s="135" t="s">
        <v>49</v>
      </c>
      <c r="D190" s="135"/>
      <c r="E190" s="135"/>
      <c r="F190" s="135"/>
      <c r="G190" s="135"/>
      <c r="H190" s="135"/>
      <c r="I190" s="135"/>
      <c r="J190" s="212"/>
      <c r="K190" s="191">
        <f t="shared" si="4"/>
        <v>75000</v>
      </c>
      <c r="L190" s="181"/>
      <c r="M190" s="181"/>
      <c r="N190" s="181"/>
      <c r="O190" s="182"/>
      <c r="P190" s="160">
        <v>57350</v>
      </c>
      <c r="Q190" s="161"/>
      <c r="R190" s="161"/>
      <c r="S190" s="163"/>
      <c r="T190" s="160">
        <v>17650</v>
      </c>
      <c r="U190" s="161"/>
      <c r="V190" s="161"/>
      <c r="W190" s="162"/>
      <c r="X190" s="191">
        <f t="shared" si="5"/>
        <v>76000</v>
      </c>
      <c r="Y190" s="181"/>
      <c r="Z190" s="181"/>
      <c r="AA190" s="181"/>
      <c r="AB190" s="182"/>
      <c r="AC190" s="160">
        <v>70200</v>
      </c>
      <c r="AD190" s="161"/>
      <c r="AE190" s="161"/>
      <c r="AF190" s="161"/>
      <c r="AG190" s="163"/>
      <c r="AH190" s="160">
        <f>5800</f>
        <v>5800</v>
      </c>
      <c r="AI190" s="161"/>
      <c r="AJ190" s="161"/>
      <c r="AK190" s="163"/>
      <c r="AL190" s="160"/>
      <c r="AM190" s="161"/>
      <c r="AN190" s="161"/>
      <c r="AO190" s="163"/>
      <c r="AP190" s="160"/>
      <c r="AQ190" s="161"/>
      <c r="AR190" s="161"/>
      <c r="AS190" s="162"/>
    </row>
    <row r="191" spans="1:45" s="11" customFormat="1" ht="15.75" customHeight="1" hidden="1">
      <c r="A191" s="133">
        <v>223</v>
      </c>
      <c r="B191" s="134"/>
      <c r="C191" s="135" t="s">
        <v>50</v>
      </c>
      <c r="D191" s="135"/>
      <c r="E191" s="135"/>
      <c r="F191" s="135"/>
      <c r="G191" s="135"/>
      <c r="H191" s="135"/>
      <c r="I191" s="135"/>
      <c r="J191" s="212"/>
      <c r="K191" s="191">
        <f t="shared" si="4"/>
        <v>0</v>
      </c>
      <c r="L191" s="181"/>
      <c r="M191" s="181"/>
      <c r="N191" s="181"/>
      <c r="O191" s="182"/>
      <c r="P191" s="160"/>
      <c r="Q191" s="161"/>
      <c r="R191" s="161"/>
      <c r="S191" s="163"/>
      <c r="T191" s="160"/>
      <c r="U191" s="161"/>
      <c r="V191" s="161"/>
      <c r="W191" s="162"/>
      <c r="X191" s="191">
        <f t="shared" si="5"/>
        <v>0</v>
      </c>
      <c r="Y191" s="181"/>
      <c r="Z191" s="181"/>
      <c r="AA191" s="181"/>
      <c r="AB191" s="182"/>
      <c r="AC191" s="160"/>
      <c r="AD191" s="161"/>
      <c r="AE191" s="161"/>
      <c r="AF191" s="161"/>
      <c r="AG191" s="163"/>
      <c r="AH191" s="160"/>
      <c r="AI191" s="161"/>
      <c r="AJ191" s="161"/>
      <c r="AK191" s="163"/>
      <c r="AL191" s="160"/>
      <c r="AM191" s="161"/>
      <c r="AN191" s="161"/>
      <c r="AO191" s="163"/>
      <c r="AP191" s="160"/>
      <c r="AQ191" s="161"/>
      <c r="AR191" s="161"/>
      <c r="AS191" s="162"/>
    </row>
    <row r="192" spans="1:45" s="11" customFormat="1" ht="32.25" customHeight="1" hidden="1">
      <c r="A192" s="133">
        <v>224</v>
      </c>
      <c r="B192" s="134"/>
      <c r="C192" s="135" t="s">
        <v>51</v>
      </c>
      <c r="D192" s="135"/>
      <c r="E192" s="135"/>
      <c r="F192" s="135"/>
      <c r="G192" s="135"/>
      <c r="H192" s="135"/>
      <c r="I192" s="135"/>
      <c r="J192" s="212"/>
      <c r="K192" s="191">
        <f t="shared" si="4"/>
        <v>50000</v>
      </c>
      <c r="L192" s="181"/>
      <c r="M192" s="181"/>
      <c r="N192" s="181"/>
      <c r="O192" s="182"/>
      <c r="P192" s="160">
        <v>38230</v>
      </c>
      <c r="Q192" s="161"/>
      <c r="R192" s="161"/>
      <c r="S192" s="163"/>
      <c r="T192" s="160">
        <v>11770</v>
      </c>
      <c r="U192" s="161"/>
      <c r="V192" s="161"/>
      <c r="W192" s="162"/>
      <c r="X192" s="191">
        <f t="shared" si="5"/>
        <v>0</v>
      </c>
      <c r="Y192" s="181"/>
      <c r="Z192" s="181"/>
      <c r="AA192" s="181"/>
      <c r="AB192" s="182"/>
      <c r="AC192" s="160"/>
      <c r="AD192" s="161"/>
      <c r="AE192" s="161"/>
      <c r="AF192" s="161"/>
      <c r="AG192" s="163"/>
      <c r="AH192" s="160"/>
      <c r="AI192" s="161"/>
      <c r="AJ192" s="161"/>
      <c r="AK192" s="163"/>
      <c r="AL192" s="160"/>
      <c r="AM192" s="161"/>
      <c r="AN192" s="161"/>
      <c r="AO192" s="163"/>
      <c r="AP192" s="160"/>
      <c r="AQ192" s="161"/>
      <c r="AR192" s="161"/>
      <c r="AS192" s="162"/>
    </row>
    <row r="193" spans="1:45" s="11" customFormat="1" ht="33" customHeight="1" hidden="1">
      <c r="A193" s="133">
        <v>225</v>
      </c>
      <c r="B193" s="134"/>
      <c r="C193" s="135" t="s">
        <v>52</v>
      </c>
      <c r="D193" s="135"/>
      <c r="E193" s="135"/>
      <c r="F193" s="135"/>
      <c r="G193" s="135"/>
      <c r="H193" s="135"/>
      <c r="I193" s="135"/>
      <c r="J193" s="212"/>
      <c r="K193" s="191">
        <f t="shared" si="4"/>
        <v>90000</v>
      </c>
      <c r="L193" s="181"/>
      <c r="M193" s="181"/>
      <c r="N193" s="181"/>
      <c r="O193" s="182"/>
      <c r="P193" s="160">
        <v>68820</v>
      </c>
      <c r="Q193" s="161"/>
      <c r="R193" s="161"/>
      <c r="S193" s="163"/>
      <c r="T193" s="160">
        <v>21180</v>
      </c>
      <c r="U193" s="161"/>
      <c r="V193" s="161"/>
      <c r="W193" s="162"/>
      <c r="X193" s="191">
        <f t="shared" si="5"/>
        <v>70000</v>
      </c>
      <c r="Y193" s="181"/>
      <c r="Z193" s="181"/>
      <c r="AA193" s="181"/>
      <c r="AB193" s="182"/>
      <c r="AC193" s="160">
        <v>64540</v>
      </c>
      <c r="AD193" s="161"/>
      <c r="AE193" s="161"/>
      <c r="AF193" s="161"/>
      <c r="AG193" s="163"/>
      <c r="AH193" s="160">
        <f>5460</f>
        <v>5460</v>
      </c>
      <c r="AI193" s="161"/>
      <c r="AJ193" s="161"/>
      <c r="AK193" s="163"/>
      <c r="AL193" s="160"/>
      <c r="AM193" s="161"/>
      <c r="AN193" s="161"/>
      <c r="AO193" s="163"/>
      <c r="AP193" s="160"/>
      <c r="AQ193" s="161"/>
      <c r="AR193" s="161"/>
      <c r="AS193" s="162"/>
    </row>
    <row r="194" spans="1:45" s="11" customFormat="1" ht="16.5" customHeight="1" hidden="1">
      <c r="A194" s="133">
        <v>226</v>
      </c>
      <c r="B194" s="134"/>
      <c r="C194" s="135" t="s">
        <v>53</v>
      </c>
      <c r="D194" s="135"/>
      <c r="E194" s="135"/>
      <c r="F194" s="135"/>
      <c r="G194" s="135"/>
      <c r="H194" s="135"/>
      <c r="I194" s="135"/>
      <c r="J194" s="212"/>
      <c r="K194" s="191">
        <f t="shared" si="4"/>
        <v>1000000</v>
      </c>
      <c r="L194" s="181"/>
      <c r="M194" s="181"/>
      <c r="N194" s="181"/>
      <c r="O194" s="182"/>
      <c r="P194" s="160">
        <v>764700</v>
      </c>
      <c r="Q194" s="161"/>
      <c r="R194" s="161"/>
      <c r="S194" s="163"/>
      <c r="T194" s="160">
        <v>235300</v>
      </c>
      <c r="U194" s="161"/>
      <c r="V194" s="161"/>
      <c r="W194" s="162"/>
      <c r="X194" s="191">
        <f t="shared" si="5"/>
        <v>10870000</v>
      </c>
      <c r="Y194" s="181"/>
      <c r="Z194" s="181"/>
      <c r="AA194" s="181"/>
      <c r="AB194" s="182"/>
      <c r="AC194" s="160">
        <v>9112200</v>
      </c>
      <c r="AD194" s="161"/>
      <c r="AE194" s="161"/>
      <c r="AF194" s="161"/>
      <c r="AG194" s="163"/>
      <c r="AH194" s="160">
        <f>1309200+294500</f>
        <v>1603700</v>
      </c>
      <c r="AI194" s="161"/>
      <c r="AJ194" s="161"/>
      <c r="AK194" s="163"/>
      <c r="AL194" s="160"/>
      <c r="AM194" s="161"/>
      <c r="AN194" s="161"/>
      <c r="AO194" s="163"/>
      <c r="AP194" s="160">
        <v>154100</v>
      </c>
      <c r="AQ194" s="161"/>
      <c r="AR194" s="161"/>
      <c r="AS194" s="162"/>
    </row>
    <row r="195" spans="1:45" s="11" customFormat="1" ht="21.75" customHeight="1" hidden="1">
      <c r="A195" s="133">
        <v>262</v>
      </c>
      <c r="B195" s="134"/>
      <c r="C195" s="135" t="s">
        <v>54</v>
      </c>
      <c r="D195" s="135"/>
      <c r="E195" s="135"/>
      <c r="F195" s="135"/>
      <c r="G195" s="135"/>
      <c r="H195" s="135"/>
      <c r="I195" s="135"/>
      <c r="J195" s="212"/>
      <c r="K195" s="191">
        <f t="shared" si="4"/>
        <v>0</v>
      </c>
      <c r="L195" s="181"/>
      <c r="M195" s="181"/>
      <c r="N195" s="181"/>
      <c r="O195" s="182"/>
      <c r="P195" s="160"/>
      <c r="Q195" s="161"/>
      <c r="R195" s="161"/>
      <c r="S195" s="163"/>
      <c r="T195" s="160"/>
      <c r="U195" s="161"/>
      <c r="V195" s="161"/>
      <c r="W195" s="162"/>
      <c r="X195" s="191">
        <f t="shared" si="5"/>
        <v>0</v>
      </c>
      <c r="Y195" s="181"/>
      <c r="Z195" s="181"/>
      <c r="AA195" s="181"/>
      <c r="AB195" s="182"/>
      <c r="AC195" s="160"/>
      <c r="AD195" s="161"/>
      <c r="AE195" s="161"/>
      <c r="AF195" s="161"/>
      <c r="AG195" s="163"/>
      <c r="AH195" s="160"/>
      <c r="AI195" s="161"/>
      <c r="AJ195" s="161"/>
      <c r="AK195" s="163"/>
      <c r="AL195" s="160"/>
      <c r="AM195" s="161"/>
      <c r="AN195" s="161"/>
      <c r="AO195" s="163"/>
      <c r="AP195" s="160"/>
      <c r="AQ195" s="161"/>
      <c r="AR195" s="161"/>
      <c r="AS195" s="162"/>
    </row>
    <row r="196" spans="1:45" s="11" customFormat="1" ht="15.75" hidden="1">
      <c r="A196" s="133">
        <v>290</v>
      </c>
      <c r="B196" s="134"/>
      <c r="C196" s="135" t="s">
        <v>46</v>
      </c>
      <c r="D196" s="135"/>
      <c r="E196" s="135"/>
      <c r="F196" s="135"/>
      <c r="G196" s="135"/>
      <c r="H196" s="135"/>
      <c r="I196" s="135"/>
      <c r="J196" s="212"/>
      <c r="K196" s="191">
        <f t="shared" si="4"/>
        <v>0</v>
      </c>
      <c r="L196" s="181"/>
      <c r="M196" s="181"/>
      <c r="N196" s="181"/>
      <c r="O196" s="182"/>
      <c r="P196" s="160"/>
      <c r="Q196" s="161"/>
      <c r="R196" s="161"/>
      <c r="S196" s="163"/>
      <c r="T196" s="160"/>
      <c r="U196" s="161"/>
      <c r="V196" s="161"/>
      <c r="W196" s="162"/>
      <c r="X196" s="191">
        <f t="shared" si="5"/>
        <v>0</v>
      </c>
      <c r="Y196" s="181"/>
      <c r="Z196" s="181"/>
      <c r="AA196" s="181"/>
      <c r="AB196" s="182"/>
      <c r="AC196" s="160"/>
      <c r="AD196" s="161"/>
      <c r="AE196" s="161"/>
      <c r="AF196" s="161"/>
      <c r="AG196" s="163"/>
      <c r="AH196" s="160"/>
      <c r="AI196" s="161"/>
      <c r="AJ196" s="161"/>
      <c r="AK196" s="163"/>
      <c r="AL196" s="160"/>
      <c r="AM196" s="161"/>
      <c r="AN196" s="161"/>
      <c r="AO196" s="163"/>
      <c r="AP196" s="160"/>
      <c r="AQ196" s="161"/>
      <c r="AR196" s="161"/>
      <c r="AS196" s="162"/>
    </row>
    <row r="197" spans="1:45" s="11" customFormat="1" ht="21" customHeight="1" hidden="1">
      <c r="A197" s="133">
        <v>310</v>
      </c>
      <c r="B197" s="134"/>
      <c r="C197" s="135" t="s">
        <v>55</v>
      </c>
      <c r="D197" s="135"/>
      <c r="E197" s="135"/>
      <c r="F197" s="135"/>
      <c r="G197" s="135"/>
      <c r="H197" s="135"/>
      <c r="I197" s="135"/>
      <c r="J197" s="212"/>
      <c r="K197" s="191">
        <f t="shared" si="4"/>
        <v>0</v>
      </c>
      <c r="L197" s="181"/>
      <c r="M197" s="181"/>
      <c r="N197" s="181"/>
      <c r="O197" s="182"/>
      <c r="P197" s="160"/>
      <c r="Q197" s="161"/>
      <c r="R197" s="161"/>
      <c r="S197" s="163"/>
      <c r="T197" s="160"/>
      <c r="U197" s="161"/>
      <c r="V197" s="161"/>
      <c r="W197" s="162"/>
      <c r="X197" s="191">
        <f t="shared" si="5"/>
        <v>240000</v>
      </c>
      <c r="Y197" s="181"/>
      <c r="Z197" s="181"/>
      <c r="AA197" s="181"/>
      <c r="AB197" s="182"/>
      <c r="AC197" s="160">
        <v>202500</v>
      </c>
      <c r="AD197" s="161"/>
      <c r="AE197" s="161"/>
      <c r="AF197" s="161"/>
      <c r="AG197" s="163"/>
      <c r="AH197" s="160">
        <f>30600+6900</f>
        <v>37500</v>
      </c>
      <c r="AI197" s="161"/>
      <c r="AJ197" s="161"/>
      <c r="AK197" s="163"/>
      <c r="AL197" s="160"/>
      <c r="AM197" s="161"/>
      <c r="AN197" s="161"/>
      <c r="AO197" s="163"/>
      <c r="AP197" s="160"/>
      <c r="AQ197" s="161"/>
      <c r="AR197" s="161"/>
      <c r="AS197" s="162"/>
    </row>
    <row r="198" spans="1:45" s="11" customFormat="1" ht="20.25" customHeight="1" hidden="1">
      <c r="A198" s="133">
        <v>340</v>
      </c>
      <c r="B198" s="134"/>
      <c r="C198" s="135" t="s">
        <v>56</v>
      </c>
      <c r="D198" s="135"/>
      <c r="E198" s="135"/>
      <c r="F198" s="135"/>
      <c r="G198" s="135"/>
      <c r="H198" s="135"/>
      <c r="I198" s="135"/>
      <c r="J198" s="212"/>
      <c r="K198" s="191">
        <f t="shared" si="4"/>
        <v>104200</v>
      </c>
      <c r="L198" s="181"/>
      <c r="M198" s="181"/>
      <c r="N198" s="181"/>
      <c r="O198" s="182"/>
      <c r="P198" s="160">
        <v>79680</v>
      </c>
      <c r="Q198" s="161"/>
      <c r="R198" s="161"/>
      <c r="S198" s="163"/>
      <c r="T198" s="160">
        <v>24520</v>
      </c>
      <c r="U198" s="161"/>
      <c r="V198" s="161"/>
      <c r="W198" s="162"/>
      <c r="X198" s="191">
        <f t="shared" si="5"/>
        <v>300000</v>
      </c>
      <c r="Y198" s="181"/>
      <c r="Z198" s="181"/>
      <c r="AA198" s="181"/>
      <c r="AB198" s="182"/>
      <c r="AC198" s="160">
        <v>276600</v>
      </c>
      <c r="AD198" s="161"/>
      <c r="AE198" s="161"/>
      <c r="AF198" s="161"/>
      <c r="AG198" s="163"/>
      <c r="AH198" s="160">
        <f>19100+4300</f>
        <v>23400</v>
      </c>
      <c r="AI198" s="161"/>
      <c r="AJ198" s="161"/>
      <c r="AK198" s="163"/>
      <c r="AL198" s="160"/>
      <c r="AM198" s="161"/>
      <c r="AN198" s="161"/>
      <c r="AO198" s="163"/>
      <c r="AP198" s="160"/>
      <c r="AQ198" s="161"/>
      <c r="AR198" s="161"/>
      <c r="AS198" s="162"/>
    </row>
    <row r="199" spans="1:45" s="11" customFormat="1" ht="16.5" hidden="1" thickBot="1">
      <c r="A199" s="184">
        <v>900</v>
      </c>
      <c r="B199" s="185"/>
      <c r="C199" s="186" t="s">
        <v>57</v>
      </c>
      <c r="D199" s="186"/>
      <c r="E199" s="186"/>
      <c r="F199" s="186"/>
      <c r="G199" s="186"/>
      <c r="H199" s="186"/>
      <c r="I199" s="186"/>
      <c r="J199" s="213"/>
      <c r="K199" s="196">
        <f t="shared" si="4"/>
        <v>8326100</v>
      </c>
      <c r="L199" s="172"/>
      <c r="M199" s="172"/>
      <c r="N199" s="172"/>
      <c r="O199" s="173"/>
      <c r="P199" s="192">
        <f>SUM(P186:P198)</f>
        <v>6367000</v>
      </c>
      <c r="Q199" s="193"/>
      <c r="R199" s="193"/>
      <c r="S199" s="194"/>
      <c r="T199" s="192">
        <f>SUM(T186:T198)</f>
        <v>1959100</v>
      </c>
      <c r="U199" s="193"/>
      <c r="V199" s="193"/>
      <c r="W199" s="195"/>
      <c r="X199" s="196">
        <f>SUM(X186:X198)</f>
        <v>147586800</v>
      </c>
      <c r="Y199" s="172"/>
      <c r="Z199" s="172"/>
      <c r="AA199" s="172"/>
      <c r="AB199" s="173"/>
      <c r="AC199" s="192">
        <f>X199-AH199-AL199-AP199</f>
        <v>114368912</v>
      </c>
      <c r="AD199" s="193"/>
      <c r="AE199" s="193"/>
      <c r="AF199" s="193"/>
      <c r="AG199" s="194"/>
      <c r="AH199" s="192">
        <f>SUM(AH186:AH198)</f>
        <v>30880517</v>
      </c>
      <c r="AI199" s="193"/>
      <c r="AJ199" s="193"/>
      <c r="AK199" s="194"/>
      <c r="AL199" s="192">
        <f>SUM(AL186:AL198)</f>
        <v>2115124</v>
      </c>
      <c r="AM199" s="193"/>
      <c r="AN199" s="193"/>
      <c r="AO199" s="194"/>
      <c r="AP199" s="192">
        <f>SUM(AP186:AP198)</f>
        <v>222247</v>
      </c>
      <c r="AQ199" s="193"/>
      <c r="AR199" s="193"/>
      <c r="AS199" s="195"/>
    </row>
    <row r="200" ht="16.5" hidden="1" thickBot="1"/>
    <row r="201" spans="1:89" ht="15.75" hidden="1">
      <c r="A201" s="214" t="s">
        <v>61</v>
      </c>
      <c r="B201" s="215"/>
      <c r="C201" s="215"/>
      <c r="D201" s="215"/>
      <c r="E201" s="215"/>
      <c r="F201" s="215"/>
      <c r="G201" s="215"/>
      <c r="H201" s="215"/>
      <c r="I201" s="215"/>
      <c r="J201" s="216"/>
      <c r="K201" s="209" t="s">
        <v>38</v>
      </c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0"/>
      <c r="W201" s="210"/>
      <c r="X201" s="210"/>
      <c r="Y201" s="210"/>
      <c r="Z201" s="210"/>
      <c r="AA201" s="210"/>
      <c r="AB201" s="210"/>
      <c r="AC201" s="210"/>
      <c r="AD201" s="210"/>
      <c r="AE201" s="211"/>
      <c r="BL201" s="33"/>
      <c r="BM201" s="33"/>
      <c r="BN201" s="33"/>
      <c r="BO201" s="33"/>
      <c r="BP201" s="197"/>
      <c r="BQ201" s="197"/>
      <c r="BR201" s="197"/>
      <c r="BS201" s="197"/>
      <c r="BT201" s="197"/>
      <c r="BU201" s="197"/>
      <c r="BV201" s="197"/>
      <c r="BW201" s="197"/>
      <c r="BX201" s="197"/>
      <c r="BY201" s="197"/>
      <c r="BZ201" s="197"/>
      <c r="CA201" s="197"/>
      <c r="CB201" s="197"/>
      <c r="CC201" s="197"/>
      <c r="CD201" s="197"/>
      <c r="CE201" s="197"/>
      <c r="CF201" s="197"/>
      <c r="CG201" s="197"/>
      <c r="CH201" s="197"/>
      <c r="CI201" s="197"/>
      <c r="CJ201" s="197"/>
      <c r="CK201" s="197"/>
    </row>
    <row r="202" spans="1:89" ht="23.25" customHeight="1" hidden="1">
      <c r="A202" s="217"/>
      <c r="B202" s="126"/>
      <c r="C202" s="126"/>
      <c r="D202" s="126"/>
      <c r="E202" s="126"/>
      <c r="F202" s="126"/>
      <c r="G202" s="126"/>
      <c r="H202" s="126"/>
      <c r="I202" s="126"/>
      <c r="J202" s="218"/>
      <c r="K202" s="199" t="s">
        <v>32</v>
      </c>
      <c r="L202" s="200"/>
      <c r="M202" s="200"/>
      <c r="N202" s="200"/>
      <c r="O202" s="201"/>
      <c r="P202" s="205" t="s">
        <v>58</v>
      </c>
      <c r="Q202" s="206"/>
      <c r="R202" s="206"/>
      <c r="S202" s="206"/>
      <c r="T202" s="202" t="s">
        <v>166</v>
      </c>
      <c r="U202" s="203"/>
      <c r="V202" s="203"/>
      <c r="W202" s="204"/>
      <c r="X202" s="205" t="s">
        <v>23</v>
      </c>
      <c r="Y202" s="206"/>
      <c r="Z202" s="206"/>
      <c r="AA202" s="207"/>
      <c r="AB202" s="205" t="s">
        <v>24</v>
      </c>
      <c r="AC202" s="206"/>
      <c r="AD202" s="206"/>
      <c r="AE202" s="208"/>
      <c r="BL202" s="33"/>
      <c r="BM202" s="33"/>
      <c r="BN202" s="33"/>
      <c r="BO202" s="33"/>
      <c r="BP202" s="198"/>
      <c r="BQ202" s="198"/>
      <c r="BR202" s="198"/>
      <c r="BS202" s="198"/>
      <c r="BT202" s="198"/>
      <c r="BU202" s="197"/>
      <c r="BV202" s="197"/>
      <c r="BW202" s="197"/>
      <c r="BX202" s="197"/>
      <c r="BY202" s="197"/>
      <c r="BZ202" s="197"/>
      <c r="CA202" s="197"/>
      <c r="CB202" s="197"/>
      <c r="CC202" s="197"/>
      <c r="CD202" s="197"/>
      <c r="CE202" s="197"/>
      <c r="CF202" s="197"/>
      <c r="CG202" s="197"/>
      <c r="CH202" s="33"/>
      <c r="CI202" s="33"/>
      <c r="CJ202" s="33"/>
      <c r="CK202" s="33"/>
    </row>
    <row r="203" spans="1:89" ht="15.75" hidden="1">
      <c r="A203" s="133">
        <v>211</v>
      </c>
      <c r="B203" s="134"/>
      <c r="C203" s="135" t="s">
        <v>45</v>
      </c>
      <c r="D203" s="135"/>
      <c r="E203" s="135"/>
      <c r="F203" s="135"/>
      <c r="G203" s="135"/>
      <c r="H203" s="135"/>
      <c r="I203" s="135"/>
      <c r="J203" s="212"/>
      <c r="K203" s="191">
        <f>P203+T203+X203+AB203</f>
        <v>681329361</v>
      </c>
      <c r="L203" s="181"/>
      <c r="M203" s="181"/>
      <c r="N203" s="181"/>
      <c r="O203" s="182"/>
      <c r="P203" s="160">
        <f>221334761+40000000</f>
        <v>261334761</v>
      </c>
      <c r="Q203" s="161"/>
      <c r="R203" s="161"/>
      <c r="S203" s="161"/>
      <c r="T203" s="160">
        <f>315408100+23000000</f>
        <v>338408100</v>
      </c>
      <c r="U203" s="161"/>
      <c r="V203" s="161"/>
      <c r="W203" s="163"/>
      <c r="X203" s="160">
        <v>60781500</v>
      </c>
      <c r="Y203" s="161"/>
      <c r="Z203" s="161"/>
      <c r="AA203" s="163"/>
      <c r="AB203" s="160">
        <v>20805000</v>
      </c>
      <c r="AC203" s="161"/>
      <c r="AD203" s="161"/>
      <c r="AE203" s="162"/>
      <c r="BL203" s="189"/>
      <c r="BM203" s="189"/>
      <c r="BN203" s="189"/>
      <c r="BO203" s="189"/>
      <c r="BP203" s="188"/>
      <c r="BQ203" s="188"/>
      <c r="BR203" s="188"/>
      <c r="BS203" s="188"/>
      <c r="BT203" s="188"/>
      <c r="BU203" s="189"/>
      <c r="BV203" s="189"/>
      <c r="BW203" s="189"/>
      <c r="BX203" s="189"/>
      <c r="BY203" s="189"/>
      <c r="BZ203" s="189"/>
      <c r="CA203" s="189"/>
      <c r="CB203" s="189"/>
      <c r="CC203" s="189"/>
      <c r="CD203" s="189"/>
      <c r="CE203" s="189"/>
      <c r="CF203" s="189"/>
      <c r="CG203" s="189"/>
      <c r="CH203" s="189"/>
      <c r="CI203" s="189"/>
      <c r="CJ203" s="189"/>
      <c r="CK203" s="189"/>
    </row>
    <row r="204" spans="1:89" ht="15.75" hidden="1">
      <c r="A204" s="133">
        <v>212</v>
      </c>
      <c r="B204" s="134"/>
      <c r="C204" s="135" t="s">
        <v>46</v>
      </c>
      <c r="D204" s="135"/>
      <c r="E204" s="135"/>
      <c r="F204" s="135"/>
      <c r="G204" s="135"/>
      <c r="H204" s="135"/>
      <c r="I204" s="135"/>
      <c r="J204" s="212"/>
      <c r="K204" s="191">
        <f aca="true" t="shared" si="6" ref="K204:K216">P204+T204+X204+AB204</f>
        <v>16877195</v>
      </c>
      <c r="L204" s="181"/>
      <c r="M204" s="181"/>
      <c r="N204" s="181"/>
      <c r="O204" s="182"/>
      <c r="P204" s="160">
        <v>4213495</v>
      </c>
      <c r="Q204" s="161"/>
      <c r="R204" s="161"/>
      <c r="S204" s="161"/>
      <c r="T204" s="160">
        <v>11203700</v>
      </c>
      <c r="U204" s="161"/>
      <c r="V204" s="161"/>
      <c r="W204" s="163"/>
      <c r="X204" s="160">
        <v>471000</v>
      </c>
      <c r="Y204" s="161"/>
      <c r="Z204" s="161"/>
      <c r="AA204" s="163"/>
      <c r="AB204" s="160">
        <v>989000</v>
      </c>
      <c r="AC204" s="161"/>
      <c r="AD204" s="161"/>
      <c r="AE204" s="162"/>
      <c r="BL204" s="189"/>
      <c r="BM204" s="189"/>
      <c r="BN204" s="189"/>
      <c r="BO204" s="189"/>
      <c r="BP204" s="188"/>
      <c r="BQ204" s="188"/>
      <c r="BR204" s="188"/>
      <c r="BS204" s="188"/>
      <c r="BT204" s="188"/>
      <c r="BU204" s="189"/>
      <c r="BV204" s="189"/>
      <c r="BW204" s="189"/>
      <c r="BX204" s="189"/>
      <c r="BY204" s="189"/>
      <c r="BZ204" s="189"/>
      <c r="CA204" s="189"/>
      <c r="CB204" s="189"/>
      <c r="CC204" s="189"/>
      <c r="CD204" s="189"/>
      <c r="CE204" s="189"/>
      <c r="CF204" s="189"/>
      <c r="CG204" s="189"/>
      <c r="CH204" s="189"/>
      <c r="CI204" s="189"/>
      <c r="CJ204" s="189"/>
      <c r="CK204" s="189"/>
    </row>
    <row r="205" spans="1:89" ht="22.5" customHeight="1" hidden="1">
      <c r="A205" s="133">
        <v>213</v>
      </c>
      <c r="B205" s="134"/>
      <c r="C205" s="187" t="s">
        <v>47</v>
      </c>
      <c r="D205" s="187"/>
      <c r="E205" s="187"/>
      <c r="F205" s="187"/>
      <c r="G205" s="187"/>
      <c r="H205" s="187"/>
      <c r="I205" s="187"/>
      <c r="J205" s="219"/>
      <c r="K205" s="191">
        <f t="shared" si="6"/>
        <v>166027797</v>
      </c>
      <c r="L205" s="181"/>
      <c r="M205" s="181"/>
      <c r="N205" s="181"/>
      <c r="O205" s="182"/>
      <c r="P205" s="160">
        <f>58509797+10480000</f>
        <v>68989797</v>
      </c>
      <c r="Q205" s="161"/>
      <c r="R205" s="161"/>
      <c r="S205" s="161"/>
      <c r="T205" s="160">
        <f>73195600+6026000</f>
        <v>79221600</v>
      </c>
      <c r="U205" s="161"/>
      <c r="V205" s="161"/>
      <c r="W205" s="163"/>
      <c r="X205" s="160">
        <v>12450400</v>
      </c>
      <c r="Y205" s="161"/>
      <c r="Z205" s="161"/>
      <c r="AA205" s="163"/>
      <c r="AB205" s="160">
        <v>5366000</v>
      </c>
      <c r="AC205" s="161"/>
      <c r="AD205" s="161"/>
      <c r="AE205" s="162"/>
      <c r="BL205" s="189"/>
      <c r="BM205" s="189"/>
      <c r="BN205" s="189"/>
      <c r="BO205" s="189"/>
      <c r="BP205" s="188"/>
      <c r="BQ205" s="188"/>
      <c r="BR205" s="188"/>
      <c r="BS205" s="188"/>
      <c r="BT205" s="188"/>
      <c r="BU205" s="189"/>
      <c r="BV205" s="189"/>
      <c r="BW205" s="189"/>
      <c r="BX205" s="189"/>
      <c r="BY205" s="189"/>
      <c r="BZ205" s="189"/>
      <c r="CA205" s="189"/>
      <c r="CB205" s="189"/>
      <c r="CC205" s="189"/>
      <c r="CD205" s="189"/>
      <c r="CE205" s="189"/>
      <c r="CF205" s="189"/>
      <c r="CG205" s="189"/>
      <c r="CH205" s="189"/>
      <c r="CI205" s="189"/>
      <c r="CJ205" s="189"/>
      <c r="CK205" s="189"/>
    </row>
    <row r="206" spans="1:89" ht="15.75" hidden="1">
      <c r="A206" s="133">
        <v>221</v>
      </c>
      <c r="B206" s="134"/>
      <c r="C206" s="135" t="s">
        <v>48</v>
      </c>
      <c r="D206" s="135"/>
      <c r="E206" s="135"/>
      <c r="F206" s="135"/>
      <c r="G206" s="135"/>
      <c r="H206" s="135"/>
      <c r="I206" s="135"/>
      <c r="J206" s="212"/>
      <c r="K206" s="191">
        <f t="shared" si="6"/>
        <v>27888274</v>
      </c>
      <c r="L206" s="181"/>
      <c r="M206" s="181"/>
      <c r="N206" s="181"/>
      <c r="O206" s="182"/>
      <c r="P206" s="160">
        <v>9385396</v>
      </c>
      <c r="Q206" s="161"/>
      <c r="R206" s="161"/>
      <c r="S206" s="161"/>
      <c r="T206" s="160">
        <v>14869200</v>
      </c>
      <c r="U206" s="161"/>
      <c r="V206" s="161"/>
      <c r="W206" s="163"/>
      <c r="X206" s="160">
        <v>2733678</v>
      </c>
      <c r="Y206" s="161"/>
      <c r="Z206" s="161"/>
      <c r="AA206" s="163"/>
      <c r="AB206" s="160">
        <v>900000</v>
      </c>
      <c r="AC206" s="161"/>
      <c r="AD206" s="161"/>
      <c r="AE206" s="162"/>
      <c r="BL206" s="189"/>
      <c r="BM206" s="189"/>
      <c r="BN206" s="189"/>
      <c r="BO206" s="189"/>
      <c r="BP206" s="188"/>
      <c r="BQ206" s="188"/>
      <c r="BR206" s="188"/>
      <c r="BS206" s="188"/>
      <c r="BT206" s="188"/>
      <c r="BU206" s="189"/>
      <c r="BV206" s="189"/>
      <c r="BW206" s="189"/>
      <c r="BX206" s="189"/>
      <c r="BY206" s="189"/>
      <c r="BZ206" s="189"/>
      <c r="CA206" s="189"/>
      <c r="CB206" s="189"/>
      <c r="CC206" s="189"/>
      <c r="CD206" s="189"/>
      <c r="CE206" s="189"/>
      <c r="CF206" s="189"/>
      <c r="CG206" s="189"/>
      <c r="CH206" s="189"/>
      <c r="CI206" s="189"/>
      <c r="CJ206" s="189"/>
      <c r="CK206" s="189"/>
    </row>
    <row r="207" spans="1:89" ht="15.75" hidden="1">
      <c r="A207" s="133">
        <v>222</v>
      </c>
      <c r="B207" s="134"/>
      <c r="C207" s="135" t="s">
        <v>49</v>
      </c>
      <c r="D207" s="135"/>
      <c r="E207" s="135"/>
      <c r="F207" s="135"/>
      <c r="G207" s="135"/>
      <c r="H207" s="135"/>
      <c r="I207" s="135"/>
      <c r="J207" s="212"/>
      <c r="K207" s="191">
        <f t="shared" si="6"/>
        <v>32758683</v>
      </c>
      <c r="L207" s="181"/>
      <c r="M207" s="181"/>
      <c r="N207" s="181"/>
      <c r="O207" s="182"/>
      <c r="P207" s="160">
        <v>11424583</v>
      </c>
      <c r="Q207" s="161"/>
      <c r="R207" s="161"/>
      <c r="S207" s="161"/>
      <c r="T207" s="160">
        <v>17237000</v>
      </c>
      <c r="U207" s="161"/>
      <c r="V207" s="161"/>
      <c r="W207" s="163"/>
      <c r="X207" s="160">
        <v>1547100</v>
      </c>
      <c r="Y207" s="161"/>
      <c r="Z207" s="161"/>
      <c r="AA207" s="163"/>
      <c r="AB207" s="160">
        <v>2550000</v>
      </c>
      <c r="AC207" s="161"/>
      <c r="AD207" s="161"/>
      <c r="AE207" s="162"/>
      <c r="BL207" s="189"/>
      <c r="BM207" s="189"/>
      <c r="BN207" s="189"/>
      <c r="BO207" s="189"/>
      <c r="BP207" s="188"/>
      <c r="BQ207" s="188"/>
      <c r="BR207" s="188"/>
      <c r="BS207" s="188"/>
      <c r="BT207" s="188"/>
      <c r="BU207" s="189"/>
      <c r="BV207" s="189"/>
      <c r="BW207" s="189"/>
      <c r="BX207" s="189"/>
      <c r="BY207" s="189"/>
      <c r="BZ207" s="189"/>
      <c r="CA207" s="189"/>
      <c r="CB207" s="189"/>
      <c r="CC207" s="189"/>
      <c r="CD207" s="189"/>
      <c r="CE207" s="189"/>
      <c r="CF207" s="189"/>
      <c r="CG207" s="189"/>
      <c r="CH207" s="189"/>
      <c r="CI207" s="189"/>
      <c r="CJ207" s="189"/>
      <c r="CK207" s="189"/>
    </row>
    <row r="208" spans="1:89" ht="15.75" hidden="1">
      <c r="A208" s="133">
        <v>223</v>
      </c>
      <c r="B208" s="134"/>
      <c r="C208" s="135" t="s">
        <v>50</v>
      </c>
      <c r="D208" s="135"/>
      <c r="E208" s="135"/>
      <c r="F208" s="135"/>
      <c r="G208" s="135"/>
      <c r="H208" s="135"/>
      <c r="I208" s="135"/>
      <c r="J208" s="212"/>
      <c r="K208" s="191">
        <f t="shared" si="6"/>
        <v>47877100</v>
      </c>
      <c r="L208" s="181"/>
      <c r="M208" s="181"/>
      <c r="N208" s="181"/>
      <c r="O208" s="182"/>
      <c r="P208" s="160">
        <v>10690300</v>
      </c>
      <c r="Q208" s="161"/>
      <c r="R208" s="161"/>
      <c r="S208" s="161"/>
      <c r="T208" s="160">
        <v>26112000</v>
      </c>
      <c r="U208" s="161"/>
      <c r="V208" s="161"/>
      <c r="W208" s="163"/>
      <c r="X208" s="160">
        <v>10154800</v>
      </c>
      <c r="Y208" s="161"/>
      <c r="Z208" s="161"/>
      <c r="AA208" s="163"/>
      <c r="AB208" s="160">
        <v>920000</v>
      </c>
      <c r="AC208" s="161"/>
      <c r="AD208" s="161"/>
      <c r="AE208" s="162"/>
      <c r="BL208" s="189"/>
      <c r="BM208" s="189"/>
      <c r="BN208" s="189"/>
      <c r="BO208" s="189"/>
      <c r="BP208" s="188"/>
      <c r="BQ208" s="188"/>
      <c r="BR208" s="188"/>
      <c r="BS208" s="188"/>
      <c r="BT208" s="188"/>
      <c r="BU208" s="189"/>
      <c r="BV208" s="189"/>
      <c r="BW208" s="189"/>
      <c r="BX208" s="189"/>
      <c r="BY208" s="189"/>
      <c r="BZ208" s="189"/>
      <c r="CA208" s="189"/>
      <c r="CB208" s="189"/>
      <c r="CC208" s="189"/>
      <c r="CD208" s="189"/>
      <c r="CE208" s="189"/>
      <c r="CF208" s="189"/>
      <c r="CG208" s="189"/>
      <c r="CH208" s="189"/>
      <c r="CI208" s="189"/>
      <c r="CJ208" s="189"/>
      <c r="CK208" s="189"/>
    </row>
    <row r="209" spans="1:89" ht="22.5" customHeight="1" hidden="1">
      <c r="A209" s="133">
        <v>224</v>
      </c>
      <c r="B209" s="134"/>
      <c r="C209" s="135" t="s">
        <v>51</v>
      </c>
      <c r="D209" s="135"/>
      <c r="E209" s="135"/>
      <c r="F209" s="135"/>
      <c r="G209" s="135"/>
      <c r="H209" s="135"/>
      <c r="I209" s="135"/>
      <c r="J209" s="212"/>
      <c r="K209" s="191">
        <f t="shared" si="6"/>
        <v>19621800</v>
      </c>
      <c r="L209" s="181"/>
      <c r="M209" s="181"/>
      <c r="N209" s="181"/>
      <c r="O209" s="182"/>
      <c r="P209" s="160">
        <v>10499000</v>
      </c>
      <c r="Q209" s="161"/>
      <c r="R209" s="161"/>
      <c r="S209" s="161"/>
      <c r="T209" s="160">
        <v>5556300</v>
      </c>
      <c r="U209" s="161"/>
      <c r="V209" s="161"/>
      <c r="W209" s="163"/>
      <c r="X209" s="160">
        <v>2766500</v>
      </c>
      <c r="Y209" s="161"/>
      <c r="Z209" s="161"/>
      <c r="AA209" s="163"/>
      <c r="AB209" s="160">
        <v>800000</v>
      </c>
      <c r="AC209" s="161"/>
      <c r="AD209" s="161"/>
      <c r="AE209" s="162"/>
      <c r="BL209" s="189"/>
      <c r="BM209" s="189"/>
      <c r="BN209" s="189"/>
      <c r="BO209" s="189"/>
      <c r="BP209" s="188"/>
      <c r="BQ209" s="188"/>
      <c r="BR209" s="188"/>
      <c r="BS209" s="188"/>
      <c r="BT209" s="188"/>
      <c r="BU209" s="189"/>
      <c r="BV209" s="189"/>
      <c r="BW209" s="189"/>
      <c r="BX209" s="189"/>
      <c r="BY209" s="189"/>
      <c r="BZ209" s="189"/>
      <c r="CA209" s="189"/>
      <c r="CB209" s="189"/>
      <c r="CC209" s="189"/>
      <c r="CD209" s="189"/>
      <c r="CE209" s="189"/>
      <c r="CF209" s="189"/>
      <c r="CG209" s="189"/>
      <c r="CH209" s="189"/>
      <c r="CI209" s="189"/>
      <c r="CJ209" s="189"/>
      <c r="CK209" s="189"/>
    </row>
    <row r="210" spans="1:89" ht="20.25" customHeight="1" hidden="1">
      <c r="A210" s="133">
        <v>225</v>
      </c>
      <c r="B210" s="134"/>
      <c r="C210" s="135" t="s">
        <v>52</v>
      </c>
      <c r="D210" s="135"/>
      <c r="E210" s="135"/>
      <c r="F210" s="135"/>
      <c r="G210" s="135"/>
      <c r="H210" s="135"/>
      <c r="I210" s="135"/>
      <c r="J210" s="212"/>
      <c r="K210" s="191">
        <f t="shared" si="6"/>
        <v>48170481</v>
      </c>
      <c r="L210" s="181"/>
      <c r="M210" s="181"/>
      <c r="N210" s="181"/>
      <c r="O210" s="182"/>
      <c r="P210" s="160">
        <v>17778981</v>
      </c>
      <c r="Q210" s="161"/>
      <c r="R210" s="161"/>
      <c r="S210" s="161"/>
      <c r="T210" s="160">
        <v>26246500</v>
      </c>
      <c r="U210" s="161"/>
      <c r="V210" s="161"/>
      <c r="W210" s="163"/>
      <c r="X210" s="160">
        <v>1015000</v>
      </c>
      <c r="Y210" s="161"/>
      <c r="Z210" s="161"/>
      <c r="AA210" s="163"/>
      <c r="AB210" s="160">
        <v>3130000</v>
      </c>
      <c r="AC210" s="161"/>
      <c r="AD210" s="161"/>
      <c r="AE210" s="162"/>
      <c r="BL210" s="189"/>
      <c r="BM210" s="189"/>
      <c r="BN210" s="189"/>
      <c r="BO210" s="189"/>
      <c r="BP210" s="188"/>
      <c r="BQ210" s="188"/>
      <c r="BR210" s="188"/>
      <c r="BS210" s="188"/>
      <c r="BT210" s="188"/>
      <c r="BU210" s="189"/>
      <c r="BV210" s="189"/>
      <c r="BW210" s="189"/>
      <c r="BX210" s="189"/>
      <c r="BY210" s="189"/>
      <c r="BZ210" s="189"/>
      <c r="CA210" s="189"/>
      <c r="CB210" s="189"/>
      <c r="CC210" s="189"/>
      <c r="CD210" s="189"/>
      <c r="CE210" s="189"/>
      <c r="CF210" s="189"/>
      <c r="CG210" s="189"/>
      <c r="CH210" s="189"/>
      <c r="CI210" s="189"/>
      <c r="CJ210" s="189"/>
      <c r="CK210" s="189"/>
    </row>
    <row r="211" spans="1:89" ht="15.75" hidden="1">
      <c r="A211" s="133">
        <v>226</v>
      </c>
      <c r="B211" s="134"/>
      <c r="C211" s="135" t="s">
        <v>53</v>
      </c>
      <c r="D211" s="135"/>
      <c r="E211" s="135"/>
      <c r="F211" s="135"/>
      <c r="G211" s="135"/>
      <c r="H211" s="135"/>
      <c r="I211" s="135"/>
      <c r="J211" s="212"/>
      <c r="K211" s="191">
        <f t="shared" si="6"/>
        <v>226059431</v>
      </c>
      <c r="L211" s="181"/>
      <c r="M211" s="181"/>
      <c r="N211" s="181"/>
      <c r="O211" s="182"/>
      <c r="P211" s="160">
        <f>93404694</f>
        <v>93404694</v>
      </c>
      <c r="Q211" s="161"/>
      <c r="R211" s="161"/>
      <c r="S211" s="161"/>
      <c r="T211" s="160">
        <f>107784900+8979937</f>
        <v>116764837</v>
      </c>
      <c r="U211" s="161"/>
      <c r="V211" s="161"/>
      <c r="W211" s="163"/>
      <c r="X211" s="160">
        <v>9044900</v>
      </c>
      <c r="Y211" s="161"/>
      <c r="Z211" s="161"/>
      <c r="AA211" s="163"/>
      <c r="AB211" s="160">
        <v>6845000</v>
      </c>
      <c r="AC211" s="161"/>
      <c r="AD211" s="161"/>
      <c r="AE211" s="162"/>
      <c r="BL211" s="189"/>
      <c r="BM211" s="189"/>
      <c r="BN211" s="189"/>
      <c r="BO211" s="189"/>
      <c r="BP211" s="188"/>
      <c r="BQ211" s="188"/>
      <c r="BR211" s="188"/>
      <c r="BS211" s="188"/>
      <c r="BT211" s="188"/>
      <c r="BU211" s="189"/>
      <c r="BV211" s="189"/>
      <c r="BW211" s="189"/>
      <c r="BX211" s="189"/>
      <c r="BY211" s="189"/>
      <c r="BZ211" s="189"/>
      <c r="CA211" s="189"/>
      <c r="CB211" s="189"/>
      <c r="CC211" s="189"/>
      <c r="CD211" s="189"/>
      <c r="CE211" s="189"/>
      <c r="CF211" s="189"/>
      <c r="CG211" s="189"/>
      <c r="CH211" s="189"/>
      <c r="CI211" s="189"/>
      <c r="CJ211" s="189"/>
      <c r="CK211" s="189"/>
    </row>
    <row r="212" spans="1:89" ht="23.25" customHeight="1" hidden="1">
      <c r="A212" s="133">
        <v>262</v>
      </c>
      <c r="B212" s="134"/>
      <c r="C212" s="135" t="s">
        <v>54</v>
      </c>
      <c r="D212" s="135"/>
      <c r="E212" s="135"/>
      <c r="F212" s="135"/>
      <c r="G212" s="135"/>
      <c r="H212" s="135"/>
      <c r="I212" s="135"/>
      <c r="J212" s="212"/>
      <c r="K212" s="191">
        <f t="shared" si="6"/>
        <v>0</v>
      </c>
      <c r="L212" s="181"/>
      <c r="M212" s="181"/>
      <c r="N212" s="181"/>
      <c r="O212" s="182"/>
      <c r="P212" s="160"/>
      <c r="Q212" s="161"/>
      <c r="R212" s="161"/>
      <c r="S212" s="161"/>
      <c r="T212" s="160"/>
      <c r="U212" s="161"/>
      <c r="V212" s="161"/>
      <c r="W212" s="163"/>
      <c r="X212" s="160"/>
      <c r="Y212" s="161"/>
      <c r="Z212" s="161"/>
      <c r="AA212" s="163"/>
      <c r="AB212" s="160"/>
      <c r="AC212" s="161"/>
      <c r="AD212" s="161"/>
      <c r="AE212" s="162"/>
      <c r="BL212" s="189"/>
      <c r="BM212" s="189"/>
      <c r="BN212" s="189"/>
      <c r="BO212" s="189"/>
      <c r="BP212" s="188"/>
      <c r="BQ212" s="188"/>
      <c r="BR212" s="188"/>
      <c r="BS212" s="188"/>
      <c r="BT212" s="188"/>
      <c r="BU212" s="189"/>
      <c r="BV212" s="189"/>
      <c r="BW212" s="189"/>
      <c r="BX212" s="189"/>
      <c r="BY212" s="189"/>
      <c r="BZ212" s="189"/>
      <c r="CA212" s="189"/>
      <c r="CB212" s="189"/>
      <c r="CC212" s="189"/>
      <c r="CD212" s="189"/>
      <c r="CE212" s="189"/>
      <c r="CF212" s="189"/>
      <c r="CG212" s="189"/>
      <c r="CH212" s="189"/>
      <c r="CI212" s="189"/>
      <c r="CJ212" s="189"/>
      <c r="CK212" s="189"/>
    </row>
    <row r="213" spans="1:89" ht="15.75" hidden="1">
      <c r="A213" s="133">
        <v>290</v>
      </c>
      <c r="B213" s="134"/>
      <c r="C213" s="135" t="s">
        <v>46</v>
      </c>
      <c r="D213" s="135"/>
      <c r="E213" s="135"/>
      <c r="F213" s="135"/>
      <c r="G213" s="135"/>
      <c r="H213" s="135"/>
      <c r="I213" s="135"/>
      <c r="J213" s="212"/>
      <c r="K213" s="191">
        <f t="shared" si="6"/>
        <v>44364757</v>
      </c>
      <c r="L213" s="181"/>
      <c r="M213" s="181"/>
      <c r="N213" s="181"/>
      <c r="O213" s="182"/>
      <c r="P213" s="160">
        <v>23322810</v>
      </c>
      <c r="Q213" s="161"/>
      <c r="R213" s="161"/>
      <c r="S213" s="161"/>
      <c r="T213" s="160">
        <v>11227000</v>
      </c>
      <c r="U213" s="161"/>
      <c r="V213" s="161"/>
      <c r="W213" s="163"/>
      <c r="X213" s="160">
        <v>2076500</v>
      </c>
      <c r="Y213" s="161"/>
      <c r="Z213" s="161"/>
      <c r="AA213" s="163"/>
      <c r="AB213" s="160">
        <v>7738447</v>
      </c>
      <c r="AC213" s="161"/>
      <c r="AD213" s="161"/>
      <c r="AE213" s="162"/>
      <c r="BL213" s="189"/>
      <c r="BM213" s="189"/>
      <c r="BN213" s="189"/>
      <c r="BO213" s="189"/>
      <c r="BP213" s="188"/>
      <c r="BQ213" s="188"/>
      <c r="BR213" s="188"/>
      <c r="BS213" s="188"/>
      <c r="BT213" s="188"/>
      <c r="BU213" s="189"/>
      <c r="BV213" s="189"/>
      <c r="BW213" s="189"/>
      <c r="BX213" s="189"/>
      <c r="BY213" s="189"/>
      <c r="BZ213" s="189"/>
      <c r="CA213" s="189"/>
      <c r="CB213" s="189"/>
      <c r="CC213" s="189"/>
      <c r="CD213" s="189"/>
      <c r="CE213" s="189"/>
      <c r="CF213" s="189"/>
      <c r="CG213" s="189"/>
      <c r="CH213" s="189"/>
      <c r="CI213" s="189"/>
      <c r="CJ213" s="189"/>
      <c r="CK213" s="189"/>
    </row>
    <row r="214" spans="1:89" ht="21" customHeight="1" hidden="1">
      <c r="A214" s="133">
        <v>310</v>
      </c>
      <c r="B214" s="134"/>
      <c r="C214" s="135" t="s">
        <v>55</v>
      </c>
      <c r="D214" s="135"/>
      <c r="E214" s="135"/>
      <c r="F214" s="135"/>
      <c r="G214" s="135"/>
      <c r="H214" s="135"/>
      <c r="I214" s="135"/>
      <c r="J214" s="212"/>
      <c r="K214" s="191">
        <f t="shared" si="6"/>
        <v>72304438</v>
      </c>
      <c r="L214" s="181"/>
      <c r="M214" s="181"/>
      <c r="N214" s="181"/>
      <c r="O214" s="182"/>
      <c r="P214" s="160">
        <f>30138579</f>
        <v>30138579</v>
      </c>
      <c r="Q214" s="161"/>
      <c r="R214" s="161"/>
      <c r="S214" s="161"/>
      <c r="T214" s="160">
        <f>26908100+11068928</f>
        <v>37977028</v>
      </c>
      <c r="U214" s="161"/>
      <c r="V214" s="161"/>
      <c r="W214" s="163"/>
      <c r="X214" s="160">
        <v>1027831</v>
      </c>
      <c r="Y214" s="161"/>
      <c r="Z214" s="161"/>
      <c r="AA214" s="163"/>
      <c r="AB214" s="160">
        <v>3161000</v>
      </c>
      <c r="AC214" s="161"/>
      <c r="AD214" s="161"/>
      <c r="AE214" s="162"/>
      <c r="BL214" s="189"/>
      <c r="BM214" s="189"/>
      <c r="BN214" s="189"/>
      <c r="BO214" s="189"/>
      <c r="BP214" s="188"/>
      <c r="BQ214" s="188"/>
      <c r="BR214" s="188"/>
      <c r="BS214" s="188"/>
      <c r="BT214" s="188"/>
      <c r="BU214" s="189"/>
      <c r="BV214" s="189"/>
      <c r="BW214" s="189"/>
      <c r="BX214" s="189"/>
      <c r="BY214" s="189"/>
      <c r="BZ214" s="189"/>
      <c r="CA214" s="189"/>
      <c r="CB214" s="189"/>
      <c r="CC214" s="189"/>
      <c r="CD214" s="189"/>
      <c r="CE214" s="189"/>
      <c r="CF214" s="189"/>
      <c r="CG214" s="189"/>
      <c r="CH214" s="189"/>
      <c r="CI214" s="189"/>
      <c r="CJ214" s="189"/>
      <c r="CK214" s="189"/>
    </row>
    <row r="215" spans="1:89" ht="30.75" customHeight="1" hidden="1">
      <c r="A215" s="133">
        <v>320</v>
      </c>
      <c r="B215" s="134"/>
      <c r="C215" s="136" t="s">
        <v>62</v>
      </c>
      <c r="D215" s="159"/>
      <c r="E215" s="159"/>
      <c r="F215" s="159"/>
      <c r="G215" s="159"/>
      <c r="H215" s="159"/>
      <c r="I215" s="159"/>
      <c r="J215" s="190"/>
      <c r="K215" s="191">
        <f t="shared" si="6"/>
        <v>53755000</v>
      </c>
      <c r="L215" s="181"/>
      <c r="M215" s="181"/>
      <c r="N215" s="181"/>
      <c r="O215" s="182"/>
      <c r="P215" s="160">
        <v>55000</v>
      </c>
      <c r="Q215" s="161"/>
      <c r="R215" s="161"/>
      <c r="S215" s="161"/>
      <c r="T215" s="160">
        <v>53700000</v>
      </c>
      <c r="U215" s="161"/>
      <c r="V215" s="161"/>
      <c r="W215" s="163"/>
      <c r="X215" s="160"/>
      <c r="Y215" s="161"/>
      <c r="Z215" s="161"/>
      <c r="AA215" s="163"/>
      <c r="AB215" s="160"/>
      <c r="AC215" s="161"/>
      <c r="AD215" s="161"/>
      <c r="AE215" s="162"/>
      <c r="BL215" s="189"/>
      <c r="BM215" s="189"/>
      <c r="BN215" s="189"/>
      <c r="BO215" s="189"/>
      <c r="BP215" s="188"/>
      <c r="BQ215" s="188"/>
      <c r="BR215" s="188"/>
      <c r="BS215" s="188"/>
      <c r="BT215" s="188"/>
      <c r="BU215" s="189"/>
      <c r="BV215" s="189"/>
      <c r="BW215" s="189"/>
      <c r="BX215" s="189"/>
      <c r="BY215" s="189"/>
      <c r="BZ215" s="189"/>
      <c r="CA215" s="189"/>
      <c r="CB215" s="189"/>
      <c r="CC215" s="189"/>
      <c r="CD215" s="189"/>
      <c r="CE215" s="189"/>
      <c r="CF215" s="189"/>
      <c r="CG215" s="189"/>
      <c r="CH215" s="189"/>
      <c r="CI215" s="189"/>
      <c r="CJ215" s="189"/>
      <c r="CK215" s="189"/>
    </row>
    <row r="216" spans="1:89" ht="20.25" customHeight="1" hidden="1">
      <c r="A216" s="133">
        <v>340</v>
      </c>
      <c r="B216" s="134"/>
      <c r="C216" s="135" t="s">
        <v>56</v>
      </c>
      <c r="D216" s="135"/>
      <c r="E216" s="135"/>
      <c r="F216" s="135"/>
      <c r="G216" s="135"/>
      <c r="H216" s="135"/>
      <c r="I216" s="135"/>
      <c r="J216" s="212"/>
      <c r="K216" s="191">
        <f t="shared" si="6"/>
        <v>107504355</v>
      </c>
      <c r="L216" s="181"/>
      <c r="M216" s="181"/>
      <c r="N216" s="181"/>
      <c r="O216" s="182"/>
      <c r="P216" s="160">
        <f>23016252</f>
        <v>23016252</v>
      </c>
      <c r="Q216" s="161"/>
      <c r="R216" s="161"/>
      <c r="S216" s="161"/>
      <c r="T216" s="160">
        <v>76714703</v>
      </c>
      <c r="U216" s="161"/>
      <c r="V216" s="161"/>
      <c r="W216" s="163"/>
      <c r="X216" s="160">
        <v>2514400</v>
      </c>
      <c r="Y216" s="161"/>
      <c r="Z216" s="161"/>
      <c r="AA216" s="163"/>
      <c r="AB216" s="160">
        <v>5259000</v>
      </c>
      <c r="AC216" s="161"/>
      <c r="AD216" s="161"/>
      <c r="AE216" s="162"/>
      <c r="BL216" s="189"/>
      <c r="BM216" s="189"/>
      <c r="BN216" s="189"/>
      <c r="BO216" s="189"/>
      <c r="BP216" s="188"/>
      <c r="BQ216" s="188"/>
      <c r="BR216" s="188"/>
      <c r="BS216" s="188"/>
      <c r="BT216" s="188"/>
      <c r="BU216" s="189"/>
      <c r="BV216" s="189"/>
      <c r="BW216" s="189"/>
      <c r="BX216" s="189"/>
      <c r="BY216" s="189"/>
      <c r="BZ216" s="189"/>
      <c r="CA216" s="189"/>
      <c r="CB216" s="189"/>
      <c r="CC216" s="189"/>
      <c r="CD216" s="189"/>
      <c r="CE216" s="189"/>
      <c r="CF216" s="189"/>
      <c r="CG216" s="189"/>
      <c r="CH216" s="189"/>
      <c r="CI216" s="189"/>
      <c r="CJ216" s="189"/>
      <c r="CK216" s="189"/>
    </row>
    <row r="217" spans="1:89" ht="16.5" hidden="1" thickBot="1">
      <c r="A217" s="184">
        <v>900</v>
      </c>
      <c r="B217" s="185"/>
      <c r="C217" s="186" t="s">
        <v>57</v>
      </c>
      <c r="D217" s="186"/>
      <c r="E217" s="186"/>
      <c r="F217" s="186"/>
      <c r="G217" s="186"/>
      <c r="H217" s="186"/>
      <c r="I217" s="186"/>
      <c r="J217" s="213"/>
      <c r="K217" s="196">
        <f>SUM(K203:K216)</f>
        <v>1544538672</v>
      </c>
      <c r="L217" s="172"/>
      <c r="M217" s="172"/>
      <c r="N217" s="172"/>
      <c r="O217" s="173"/>
      <c r="P217" s="192">
        <f>SUM(P203:P216)</f>
        <v>564253648</v>
      </c>
      <c r="Q217" s="193"/>
      <c r="R217" s="193"/>
      <c r="S217" s="194"/>
      <c r="T217" s="192">
        <f>SUM(T203:T216)</f>
        <v>815237968</v>
      </c>
      <c r="U217" s="193"/>
      <c r="V217" s="193"/>
      <c r="W217" s="194"/>
      <c r="X217" s="192">
        <f>SUM(X203:X216)</f>
        <v>106583609</v>
      </c>
      <c r="Y217" s="193"/>
      <c r="Z217" s="193"/>
      <c r="AA217" s="194"/>
      <c r="AB217" s="192">
        <f>SUM(AB203:AB216)</f>
        <v>58463447</v>
      </c>
      <c r="AC217" s="193"/>
      <c r="AD217" s="193"/>
      <c r="AE217" s="195"/>
      <c r="AF217" s="32"/>
      <c r="AG217" s="29"/>
      <c r="AH217" s="29"/>
      <c r="AI217" s="29"/>
      <c r="AJ217" s="29"/>
      <c r="AK217" s="29"/>
      <c r="AL217" s="29"/>
      <c r="AM217" s="29"/>
      <c r="BL217" s="189"/>
      <c r="BM217" s="189"/>
      <c r="BN217" s="189"/>
      <c r="BO217" s="189"/>
      <c r="BP217" s="188"/>
      <c r="BQ217" s="188"/>
      <c r="BR217" s="188"/>
      <c r="BS217" s="188"/>
      <c r="BT217" s="188"/>
      <c r="BU217" s="189"/>
      <c r="BV217" s="189"/>
      <c r="BW217" s="189"/>
      <c r="BX217" s="189"/>
      <c r="BY217" s="189"/>
      <c r="BZ217" s="189"/>
      <c r="CA217" s="189"/>
      <c r="CB217" s="189"/>
      <c r="CC217" s="189"/>
      <c r="CD217" s="189"/>
      <c r="CE217" s="189"/>
      <c r="CF217" s="189"/>
      <c r="CG217" s="189"/>
      <c r="CH217" s="189"/>
      <c r="CI217" s="189"/>
      <c r="CJ217" s="189"/>
      <c r="CK217" s="189"/>
    </row>
    <row r="219" spans="1:36" s="35" customFormat="1" ht="15.75">
      <c r="A219" s="123" t="s">
        <v>61</v>
      </c>
      <c r="B219" s="123"/>
      <c r="C219" s="123"/>
      <c r="D219" s="123"/>
      <c r="E219" s="123"/>
      <c r="F219" s="123"/>
      <c r="G219" s="123"/>
      <c r="H219" s="123"/>
      <c r="I219" s="123"/>
      <c r="J219" s="123"/>
      <c r="K219" s="123" t="s">
        <v>182</v>
      </c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  <c r="AC219" s="123"/>
      <c r="AD219" s="123"/>
      <c r="AE219" s="123"/>
      <c r="AF219" s="123"/>
      <c r="AG219" s="123"/>
      <c r="AH219" s="123"/>
      <c r="AI219" s="123"/>
      <c r="AJ219" s="123"/>
    </row>
    <row r="220" spans="1:36" s="35" customFormat="1" ht="27.75" customHeight="1">
      <c r="A220" s="123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 t="s">
        <v>32</v>
      </c>
      <c r="L220" s="123"/>
      <c r="M220" s="123"/>
      <c r="N220" s="123"/>
      <c r="O220" s="123"/>
      <c r="P220" s="123"/>
      <c r="Q220" s="123" t="s">
        <v>58</v>
      </c>
      <c r="R220" s="123"/>
      <c r="S220" s="123"/>
      <c r="T220" s="123"/>
      <c r="U220" s="123"/>
      <c r="V220" s="121" t="s">
        <v>166</v>
      </c>
      <c r="W220" s="121"/>
      <c r="X220" s="121"/>
      <c r="Y220" s="121"/>
      <c r="Z220" s="121"/>
      <c r="AA220" s="123" t="s">
        <v>23</v>
      </c>
      <c r="AB220" s="123"/>
      <c r="AC220" s="123"/>
      <c r="AD220" s="123"/>
      <c r="AE220" s="123"/>
      <c r="AF220" s="123" t="s">
        <v>24</v>
      </c>
      <c r="AG220" s="123"/>
      <c r="AH220" s="123"/>
      <c r="AI220" s="123"/>
      <c r="AJ220" s="123"/>
    </row>
    <row r="221" spans="1:36" ht="15.75">
      <c r="A221" s="134">
        <v>211</v>
      </c>
      <c r="B221" s="134"/>
      <c r="C221" s="135" t="s">
        <v>45</v>
      </c>
      <c r="D221" s="135"/>
      <c r="E221" s="135"/>
      <c r="F221" s="135"/>
      <c r="G221" s="135"/>
      <c r="H221" s="135"/>
      <c r="I221" s="135"/>
      <c r="J221" s="135"/>
      <c r="K221" s="124">
        <f aca="true" t="shared" si="7" ref="K221:K234">Q221+V221+AA221+AF221</f>
        <v>1549100561</v>
      </c>
      <c r="L221" s="124"/>
      <c r="M221" s="124"/>
      <c r="N221" s="124"/>
      <c r="O221" s="124"/>
      <c r="P221" s="124"/>
      <c r="Q221" s="122">
        <f>P169+AG169+P186+AC186+P203</f>
        <v>754134785</v>
      </c>
      <c r="R221" s="122"/>
      <c r="S221" s="122"/>
      <c r="T221" s="122"/>
      <c r="U221" s="122"/>
      <c r="V221" s="122">
        <f aca="true" t="shared" si="8" ref="V221:V232">T169+AL169+AH186+T203</f>
        <v>520429228</v>
      </c>
      <c r="W221" s="122"/>
      <c r="X221" s="122"/>
      <c r="Y221" s="122"/>
      <c r="Z221" s="122"/>
      <c r="AA221" s="122">
        <f aca="true" t="shared" si="9" ref="AA221:AA232">AP169+T186+AL186+X203</f>
        <v>206504628</v>
      </c>
      <c r="AB221" s="122"/>
      <c r="AC221" s="122"/>
      <c r="AD221" s="122"/>
      <c r="AE221" s="122"/>
      <c r="AF221" s="122">
        <f aca="true" t="shared" si="10" ref="AF221:AF232">X169+AT169+AP186+AB203</f>
        <v>68031920</v>
      </c>
      <c r="AG221" s="122"/>
      <c r="AH221" s="122"/>
      <c r="AI221" s="122"/>
      <c r="AJ221" s="122"/>
    </row>
    <row r="222" spans="1:36" ht="15.75">
      <c r="A222" s="134">
        <v>212</v>
      </c>
      <c r="B222" s="134"/>
      <c r="C222" s="135" t="s">
        <v>46</v>
      </c>
      <c r="D222" s="135"/>
      <c r="E222" s="135"/>
      <c r="F222" s="135"/>
      <c r="G222" s="135"/>
      <c r="H222" s="135"/>
      <c r="I222" s="135"/>
      <c r="J222" s="135"/>
      <c r="K222" s="124">
        <f t="shared" si="7"/>
        <v>21849295</v>
      </c>
      <c r="L222" s="124"/>
      <c r="M222" s="124"/>
      <c r="N222" s="124"/>
      <c r="O222" s="124"/>
      <c r="P222" s="124"/>
      <c r="Q222" s="122">
        <f>P170+AG170+P187+AC187+P204</f>
        <v>6620341</v>
      </c>
      <c r="R222" s="122"/>
      <c r="S222" s="122"/>
      <c r="T222" s="122"/>
      <c r="U222" s="122"/>
      <c r="V222" s="122">
        <f t="shared" si="8"/>
        <v>12230754</v>
      </c>
      <c r="W222" s="122"/>
      <c r="X222" s="122"/>
      <c r="Y222" s="122"/>
      <c r="Z222" s="122"/>
      <c r="AA222" s="122">
        <f t="shared" si="9"/>
        <v>1552926</v>
      </c>
      <c r="AB222" s="122"/>
      <c r="AC222" s="122"/>
      <c r="AD222" s="122"/>
      <c r="AE222" s="122"/>
      <c r="AF222" s="122">
        <f t="shared" si="10"/>
        <v>1445274</v>
      </c>
      <c r="AG222" s="122"/>
      <c r="AH222" s="122"/>
      <c r="AI222" s="122"/>
      <c r="AJ222" s="122"/>
    </row>
    <row r="223" spans="1:36" ht="23.25" customHeight="1">
      <c r="A223" s="134">
        <v>213</v>
      </c>
      <c r="B223" s="134"/>
      <c r="C223" s="187" t="s">
        <v>47</v>
      </c>
      <c r="D223" s="187"/>
      <c r="E223" s="187"/>
      <c r="F223" s="187"/>
      <c r="G223" s="187"/>
      <c r="H223" s="187"/>
      <c r="I223" s="187"/>
      <c r="J223" s="187"/>
      <c r="K223" s="124">
        <f t="shared" si="7"/>
        <v>384724697</v>
      </c>
      <c r="L223" s="124"/>
      <c r="M223" s="124"/>
      <c r="N223" s="124"/>
      <c r="O223" s="124"/>
      <c r="P223" s="124"/>
      <c r="Q223" s="122">
        <f>P188+AC188+P205+P171+AG171</f>
        <v>193937918</v>
      </c>
      <c r="R223" s="122"/>
      <c r="S223" s="122"/>
      <c r="T223" s="122"/>
      <c r="U223" s="122"/>
      <c r="V223" s="122">
        <f t="shared" si="8"/>
        <v>123228877</v>
      </c>
      <c r="W223" s="122"/>
      <c r="X223" s="122"/>
      <c r="Y223" s="122"/>
      <c r="Z223" s="122"/>
      <c r="AA223" s="122">
        <f t="shared" si="9"/>
        <v>50019980</v>
      </c>
      <c r="AB223" s="122"/>
      <c r="AC223" s="122"/>
      <c r="AD223" s="122"/>
      <c r="AE223" s="122"/>
      <c r="AF223" s="122">
        <f t="shared" si="10"/>
        <v>17537922</v>
      </c>
      <c r="AG223" s="122"/>
      <c r="AH223" s="122"/>
      <c r="AI223" s="122"/>
      <c r="AJ223" s="122"/>
    </row>
    <row r="224" spans="1:36" ht="15.75">
      <c r="A224" s="134">
        <v>221</v>
      </c>
      <c r="B224" s="134"/>
      <c r="C224" s="135" t="s">
        <v>48</v>
      </c>
      <c r="D224" s="135"/>
      <c r="E224" s="135"/>
      <c r="F224" s="135"/>
      <c r="G224" s="135"/>
      <c r="H224" s="135"/>
      <c r="I224" s="135"/>
      <c r="J224" s="135"/>
      <c r="K224" s="124">
        <f t="shared" si="7"/>
        <v>35324274</v>
      </c>
      <c r="L224" s="124"/>
      <c r="M224" s="124"/>
      <c r="N224" s="124"/>
      <c r="O224" s="124"/>
      <c r="P224" s="124"/>
      <c r="Q224" s="122">
        <f aca="true" t="shared" si="11" ref="Q224:Q232">P172+AG172+P189+AC189+P206</f>
        <v>16665876</v>
      </c>
      <c r="R224" s="122"/>
      <c r="S224" s="122"/>
      <c r="T224" s="122"/>
      <c r="U224" s="122"/>
      <c r="V224" s="122">
        <f t="shared" si="8"/>
        <v>15012950</v>
      </c>
      <c r="W224" s="122"/>
      <c r="X224" s="122"/>
      <c r="Y224" s="122"/>
      <c r="Z224" s="122"/>
      <c r="AA224" s="122">
        <f t="shared" si="9"/>
        <v>2745448</v>
      </c>
      <c r="AB224" s="122"/>
      <c r="AC224" s="122"/>
      <c r="AD224" s="122"/>
      <c r="AE224" s="122"/>
      <c r="AF224" s="122">
        <f t="shared" si="10"/>
        <v>900000</v>
      </c>
      <c r="AG224" s="122"/>
      <c r="AH224" s="122"/>
      <c r="AI224" s="122"/>
      <c r="AJ224" s="122"/>
    </row>
    <row r="225" spans="1:36" ht="15.75">
      <c r="A225" s="134">
        <v>222</v>
      </c>
      <c r="B225" s="134"/>
      <c r="C225" s="135" t="s">
        <v>49</v>
      </c>
      <c r="D225" s="135"/>
      <c r="E225" s="135"/>
      <c r="F225" s="135"/>
      <c r="G225" s="135"/>
      <c r="H225" s="135"/>
      <c r="I225" s="135"/>
      <c r="J225" s="135"/>
      <c r="K225" s="124">
        <f t="shared" si="7"/>
        <v>33274883</v>
      </c>
      <c r="L225" s="124"/>
      <c r="M225" s="124"/>
      <c r="N225" s="124"/>
      <c r="O225" s="124"/>
      <c r="P225" s="124"/>
      <c r="Q225" s="122">
        <f t="shared" si="11"/>
        <v>11848833</v>
      </c>
      <c r="R225" s="122"/>
      <c r="S225" s="122"/>
      <c r="T225" s="122"/>
      <c r="U225" s="122"/>
      <c r="V225" s="122">
        <f t="shared" si="8"/>
        <v>17262800</v>
      </c>
      <c r="W225" s="122"/>
      <c r="X225" s="122"/>
      <c r="Y225" s="122"/>
      <c r="Z225" s="122"/>
      <c r="AA225" s="122">
        <f t="shared" si="9"/>
        <v>1613250</v>
      </c>
      <c r="AB225" s="122"/>
      <c r="AC225" s="122"/>
      <c r="AD225" s="122"/>
      <c r="AE225" s="122"/>
      <c r="AF225" s="122">
        <f t="shared" si="10"/>
        <v>2550000</v>
      </c>
      <c r="AG225" s="122"/>
      <c r="AH225" s="122"/>
      <c r="AI225" s="122"/>
      <c r="AJ225" s="122"/>
    </row>
    <row r="226" spans="1:36" ht="15.75">
      <c r="A226" s="134">
        <v>223</v>
      </c>
      <c r="B226" s="134"/>
      <c r="C226" s="135" t="s">
        <v>50</v>
      </c>
      <c r="D226" s="135"/>
      <c r="E226" s="135"/>
      <c r="F226" s="135"/>
      <c r="G226" s="135"/>
      <c r="H226" s="135"/>
      <c r="I226" s="135"/>
      <c r="J226" s="135"/>
      <c r="K226" s="124">
        <f t="shared" si="7"/>
        <v>114313100</v>
      </c>
      <c r="L226" s="124"/>
      <c r="M226" s="124"/>
      <c r="N226" s="124"/>
      <c r="O226" s="124"/>
      <c r="P226" s="124"/>
      <c r="Q226" s="122">
        <f t="shared" si="11"/>
        <v>52935260</v>
      </c>
      <c r="R226" s="122"/>
      <c r="S226" s="122"/>
      <c r="T226" s="122"/>
      <c r="U226" s="122"/>
      <c r="V226" s="122">
        <f t="shared" si="8"/>
        <v>42896960</v>
      </c>
      <c r="W226" s="122"/>
      <c r="X226" s="122"/>
      <c r="Y226" s="122"/>
      <c r="Z226" s="122"/>
      <c r="AA226" s="122">
        <f t="shared" si="9"/>
        <v>17199600</v>
      </c>
      <c r="AB226" s="122"/>
      <c r="AC226" s="122"/>
      <c r="AD226" s="122"/>
      <c r="AE226" s="122"/>
      <c r="AF226" s="122">
        <f t="shared" si="10"/>
        <v>1281280</v>
      </c>
      <c r="AG226" s="122"/>
      <c r="AH226" s="122"/>
      <c r="AI226" s="122"/>
      <c r="AJ226" s="122"/>
    </row>
    <row r="227" spans="1:36" ht="21" customHeight="1">
      <c r="A227" s="134">
        <v>224</v>
      </c>
      <c r="B227" s="134"/>
      <c r="C227" s="135" t="s">
        <v>51</v>
      </c>
      <c r="D227" s="135"/>
      <c r="E227" s="135"/>
      <c r="F227" s="135"/>
      <c r="G227" s="135"/>
      <c r="H227" s="135"/>
      <c r="I227" s="135"/>
      <c r="J227" s="135"/>
      <c r="K227" s="124">
        <f t="shared" si="7"/>
        <v>19671800</v>
      </c>
      <c r="L227" s="124"/>
      <c r="M227" s="124"/>
      <c r="N227" s="124"/>
      <c r="O227" s="124"/>
      <c r="P227" s="124"/>
      <c r="Q227" s="122">
        <f t="shared" si="11"/>
        <v>10537230</v>
      </c>
      <c r="R227" s="122"/>
      <c r="S227" s="122"/>
      <c r="T227" s="122"/>
      <c r="U227" s="122"/>
      <c r="V227" s="122">
        <f t="shared" si="8"/>
        <v>5556300</v>
      </c>
      <c r="W227" s="122"/>
      <c r="X227" s="122"/>
      <c r="Y227" s="122"/>
      <c r="Z227" s="122"/>
      <c r="AA227" s="122">
        <f t="shared" si="9"/>
        <v>2778270</v>
      </c>
      <c r="AB227" s="122"/>
      <c r="AC227" s="122"/>
      <c r="AD227" s="122"/>
      <c r="AE227" s="122"/>
      <c r="AF227" s="122">
        <f t="shared" si="10"/>
        <v>800000</v>
      </c>
      <c r="AG227" s="122"/>
      <c r="AH227" s="122"/>
      <c r="AI227" s="122"/>
      <c r="AJ227" s="122"/>
    </row>
    <row r="228" spans="1:36" ht="21" customHeight="1">
      <c r="A228" s="134">
        <v>225</v>
      </c>
      <c r="B228" s="134"/>
      <c r="C228" s="135" t="s">
        <v>52</v>
      </c>
      <c r="D228" s="135"/>
      <c r="E228" s="135"/>
      <c r="F228" s="135"/>
      <c r="G228" s="135"/>
      <c r="H228" s="135"/>
      <c r="I228" s="135"/>
      <c r="J228" s="135"/>
      <c r="K228" s="124">
        <f t="shared" si="7"/>
        <v>90802081</v>
      </c>
      <c r="L228" s="124"/>
      <c r="M228" s="124"/>
      <c r="N228" s="124"/>
      <c r="O228" s="124"/>
      <c r="P228" s="124"/>
      <c r="Q228" s="122">
        <f t="shared" si="11"/>
        <v>46283251</v>
      </c>
      <c r="R228" s="122"/>
      <c r="S228" s="122"/>
      <c r="T228" s="122"/>
      <c r="U228" s="122"/>
      <c r="V228" s="122">
        <f t="shared" si="8"/>
        <v>36980787</v>
      </c>
      <c r="W228" s="122"/>
      <c r="X228" s="122"/>
      <c r="Y228" s="122"/>
      <c r="Z228" s="122"/>
      <c r="AA228" s="122">
        <f t="shared" si="9"/>
        <v>4273333</v>
      </c>
      <c r="AB228" s="122"/>
      <c r="AC228" s="122"/>
      <c r="AD228" s="122"/>
      <c r="AE228" s="122"/>
      <c r="AF228" s="122">
        <f t="shared" si="10"/>
        <v>3264710</v>
      </c>
      <c r="AG228" s="122"/>
      <c r="AH228" s="122"/>
      <c r="AI228" s="122"/>
      <c r="AJ228" s="122"/>
    </row>
    <row r="229" spans="1:36" ht="15.75">
      <c r="A229" s="134">
        <v>226</v>
      </c>
      <c r="B229" s="134"/>
      <c r="C229" s="135" t="s">
        <v>53</v>
      </c>
      <c r="D229" s="135"/>
      <c r="E229" s="135"/>
      <c r="F229" s="135"/>
      <c r="G229" s="135"/>
      <c r="H229" s="135"/>
      <c r="I229" s="135"/>
      <c r="J229" s="135"/>
      <c r="K229" s="124">
        <f t="shared" si="7"/>
        <v>273930631</v>
      </c>
      <c r="L229" s="124"/>
      <c r="M229" s="124"/>
      <c r="N229" s="124"/>
      <c r="O229" s="124"/>
      <c r="P229" s="124"/>
      <c r="Q229" s="122">
        <f t="shared" si="11"/>
        <v>122257394</v>
      </c>
      <c r="R229" s="122"/>
      <c r="S229" s="122"/>
      <c r="T229" s="122"/>
      <c r="U229" s="122"/>
      <c r="V229" s="122">
        <f t="shared" si="8"/>
        <v>126977401</v>
      </c>
      <c r="W229" s="122"/>
      <c r="X229" s="122"/>
      <c r="Y229" s="122"/>
      <c r="Z229" s="122"/>
      <c r="AA229" s="122">
        <f t="shared" si="9"/>
        <v>15860678</v>
      </c>
      <c r="AB229" s="122"/>
      <c r="AC229" s="122"/>
      <c r="AD229" s="122"/>
      <c r="AE229" s="122"/>
      <c r="AF229" s="122">
        <f t="shared" si="10"/>
        <v>8835158</v>
      </c>
      <c r="AG229" s="122"/>
      <c r="AH229" s="122"/>
      <c r="AI229" s="122"/>
      <c r="AJ229" s="122"/>
    </row>
    <row r="230" spans="1:36" ht="21" customHeight="1">
      <c r="A230" s="134">
        <v>262</v>
      </c>
      <c r="B230" s="134"/>
      <c r="C230" s="135" t="s">
        <v>54</v>
      </c>
      <c r="D230" s="135"/>
      <c r="E230" s="135"/>
      <c r="F230" s="135"/>
      <c r="G230" s="135"/>
      <c r="H230" s="135"/>
      <c r="I230" s="135"/>
      <c r="J230" s="135"/>
      <c r="K230" s="124">
        <f t="shared" si="7"/>
        <v>20995100</v>
      </c>
      <c r="L230" s="124"/>
      <c r="M230" s="124"/>
      <c r="N230" s="124"/>
      <c r="O230" s="124"/>
      <c r="P230" s="124"/>
      <c r="Q230" s="122">
        <f t="shared" si="11"/>
        <v>10239252</v>
      </c>
      <c r="R230" s="122"/>
      <c r="S230" s="122"/>
      <c r="T230" s="122"/>
      <c r="U230" s="122"/>
      <c r="V230" s="122">
        <f t="shared" si="8"/>
        <v>4078806</v>
      </c>
      <c r="W230" s="122"/>
      <c r="X230" s="122"/>
      <c r="Y230" s="122"/>
      <c r="Z230" s="122"/>
      <c r="AA230" s="122">
        <f t="shared" si="9"/>
        <v>5711874</v>
      </c>
      <c r="AB230" s="122"/>
      <c r="AC230" s="122"/>
      <c r="AD230" s="122"/>
      <c r="AE230" s="122"/>
      <c r="AF230" s="122">
        <f t="shared" si="10"/>
        <v>965168</v>
      </c>
      <c r="AG230" s="122"/>
      <c r="AH230" s="122"/>
      <c r="AI230" s="122"/>
      <c r="AJ230" s="122"/>
    </row>
    <row r="231" spans="1:36" ht="15.75">
      <c r="A231" s="134">
        <v>290</v>
      </c>
      <c r="B231" s="134"/>
      <c r="C231" s="135" t="s">
        <v>46</v>
      </c>
      <c r="D231" s="135"/>
      <c r="E231" s="135"/>
      <c r="F231" s="135"/>
      <c r="G231" s="135"/>
      <c r="H231" s="135"/>
      <c r="I231" s="135"/>
      <c r="J231" s="135"/>
      <c r="K231" s="124">
        <f t="shared" si="7"/>
        <v>350365557</v>
      </c>
      <c r="L231" s="124"/>
      <c r="M231" s="124"/>
      <c r="N231" s="124"/>
      <c r="O231" s="124"/>
      <c r="P231" s="124"/>
      <c r="Q231" s="122">
        <f t="shared" si="11"/>
        <v>188457790</v>
      </c>
      <c r="R231" s="122"/>
      <c r="S231" s="122"/>
      <c r="T231" s="122"/>
      <c r="U231" s="122"/>
      <c r="V231" s="122">
        <f t="shared" si="8"/>
        <v>80942832</v>
      </c>
      <c r="W231" s="122"/>
      <c r="X231" s="122"/>
      <c r="Y231" s="122"/>
      <c r="Z231" s="122"/>
      <c r="AA231" s="122">
        <f t="shared" si="9"/>
        <v>57603653</v>
      </c>
      <c r="AB231" s="122"/>
      <c r="AC231" s="122"/>
      <c r="AD231" s="122"/>
      <c r="AE231" s="122"/>
      <c r="AF231" s="122">
        <f t="shared" si="10"/>
        <v>23361282</v>
      </c>
      <c r="AG231" s="122"/>
      <c r="AH231" s="122"/>
      <c r="AI231" s="122"/>
      <c r="AJ231" s="122"/>
    </row>
    <row r="232" spans="1:36" ht="21" customHeight="1">
      <c r="A232" s="134">
        <v>310</v>
      </c>
      <c r="B232" s="134"/>
      <c r="C232" s="135" t="s">
        <v>55</v>
      </c>
      <c r="D232" s="135"/>
      <c r="E232" s="135"/>
      <c r="F232" s="135"/>
      <c r="G232" s="135"/>
      <c r="H232" s="135"/>
      <c r="I232" s="135"/>
      <c r="J232" s="135"/>
      <c r="K232" s="124">
        <f t="shared" si="7"/>
        <v>131384138</v>
      </c>
      <c r="L232" s="124"/>
      <c r="M232" s="124"/>
      <c r="N232" s="124"/>
      <c r="O232" s="124"/>
      <c r="P232" s="124"/>
      <c r="Q232" s="122">
        <f t="shared" si="11"/>
        <v>69426789</v>
      </c>
      <c r="R232" s="122"/>
      <c r="S232" s="122"/>
      <c r="T232" s="122"/>
      <c r="U232" s="122"/>
      <c r="V232" s="122">
        <f t="shared" si="8"/>
        <v>47804266</v>
      </c>
      <c r="W232" s="122"/>
      <c r="X232" s="122"/>
      <c r="Y232" s="122"/>
      <c r="Z232" s="122"/>
      <c r="AA232" s="122">
        <f t="shared" si="9"/>
        <v>8807121</v>
      </c>
      <c r="AB232" s="122"/>
      <c r="AC232" s="122"/>
      <c r="AD232" s="122"/>
      <c r="AE232" s="122"/>
      <c r="AF232" s="122">
        <f t="shared" si="10"/>
        <v>5345962</v>
      </c>
      <c r="AG232" s="122"/>
      <c r="AH232" s="122"/>
      <c r="AI232" s="122"/>
      <c r="AJ232" s="122"/>
    </row>
    <row r="233" spans="1:36" ht="19.5" customHeight="1">
      <c r="A233" s="134">
        <v>320</v>
      </c>
      <c r="B233" s="134"/>
      <c r="C233" s="135" t="s">
        <v>62</v>
      </c>
      <c r="D233" s="135"/>
      <c r="E233" s="135"/>
      <c r="F233" s="135"/>
      <c r="G233" s="135"/>
      <c r="H233" s="135"/>
      <c r="I233" s="135"/>
      <c r="J233" s="135"/>
      <c r="K233" s="124">
        <f t="shared" si="7"/>
        <v>53755000</v>
      </c>
      <c r="L233" s="124"/>
      <c r="M233" s="124"/>
      <c r="N233" s="124"/>
      <c r="O233" s="124"/>
      <c r="P233" s="124"/>
      <c r="Q233" s="122">
        <f>P215</f>
        <v>55000</v>
      </c>
      <c r="R233" s="122"/>
      <c r="S233" s="122"/>
      <c r="T233" s="122"/>
      <c r="U233" s="122"/>
      <c r="V233" s="122">
        <f>T215</f>
        <v>53700000</v>
      </c>
      <c r="W233" s="122"/>
      <c r="X233" s="122"/>
      <c r="Y233" s="122"/>
      <c r="Z233" s="122"/>
      <c r="AA233" s="122">
        <f>X215</f>
        <v>0</v>
      </c>
      <c r="AB233" s="122"/>
      <c r="AC233" s="122"/>
      <c r="AD233" s="122"/>
      <c r="AE233" s="122"/>
      <c r="AF233" s="122">
        <f>AB215</f>
        <v>0</v>
      </c>
      <c r="AG233" s="122"/>
      <c r="AH233" s="122"/>
      <c r="AI233" s="122"/>
      <c r="AJ233" s="122"/>
    </row>
    <row r="234" spans="1:36" ht="21" customHeight="1">
      <c r="A234" s="134">
        <v>340</v>
      </c>
      <c r="B234" s="134"/>
      <c r="C234" s="135" t="s">
        <v>56</v>
      </c>
      <c r="D234" s="135"/>
      <c r="E234" s="135"/>
      <c r="F234" s="135"/>
      <c r="G234" s="135"/>
      <c r="H234" s="135"/>
      <c r="I234" s="135"/>
      <c r="J234" s="135"/>
      <c r="K234" s="124">
        <f t="shared" si="7"/>
        <v>119713240</v>
      </c>
      <c r="L234" s="124"/>
      <c r="M234" s="124"/>
      <c r="N234" s="124"/>
      <c r="O234" s="124"/>
      <c r="P234" s="124"/>
      <c r="Q234" s="122">
        <f>P181+AG181+P198+AC198+P216</f>
        <v>27072532</v>
      </c>
      <c r="R234" s="122"/>
      <c r="S234" s="122"/>
      <c r="T234" s="122"/>
      <c r="U234" s="122"/>
      <c r="V234" s="122">
        <f>T181+AL181+AH198+T216</f>
        <v>84529603</v>
      </c>
      <c r="W234" s="122"/>
      <c r="X234" s="122"/>
      <c r="Y234" s="122"/>
      <c r="Z234" s="122"/>
      <c r="AA234" s="122">
        <f>AP181+T198+AL198+X216</f>
        <v>2538920</v>
      </c>
      <c r="AB234" s="122"/>
      <c r="AC234" s="122"/>
      <c r="AD234" s="122"/>
      <c r="AE234" s="122"/>
      <c r="AF234" s="122">
        <f>X181+AT181+AP198+AB216</f>
        <v>5572185</v>
      </c>
      <c r="AG234" s="122"/>
      <c r="AH234" s="122"/>
      <c r="AI234" s="122"/>
      <c r="AJ234" s="122"/>
    </row>
    <row r="235" spans="1:36" ht="15.75">
      <c r="A235" s="134">
        <v>900</v>
      </c>
      <c r="B235" s="134"/>
      <c r="C235" s="135" t="s">
        <v>57</v>
      </c>
      <c r="D235" s="135"/>
      <c r="E235" s="135"/>
      <c r="F235" s="135"/>
      <c r="G235" s="135"/>
      <c r="H235" s="135"/>
      <c r="I235" s="135"/>
      <c r="J235" s="135"/>
      <c r="K235" s="124">
        <f>SUM(K221:K234)</f>
        <v>3199204357</v>
      </c>
      <c r="L235" s="124"/>
      <c r="M235" s="124"/>
      <c r="N235" s="124"/>
      <c r="O235" s="124"/>
      <c r="P235" s="124"/>
      <c r="Q235" s="124">
        <f>Q221+Q222+Q223+Q224+Q225+Q226+Q227+Q228+Q229+Q230+Q231+Q232+Q233+Q234</f>
        <v>1510472251</v>
      </c>
      <c r="R235" s="124"/>
      <c r="S235" s="124"/>
      <c r="T235" s="124"/>
      <c r="U235" s="124"/>
      <c r="V235" s="124">
        <f>V221+V222+V223+V224+V225+V226+V227+V228+V229+V230+V231+V232+V233+V234</f>
        <v>1171631564</v>
      </c>
      <c r="W235" s="124"/>
      <c r="X235" s="124"/>
      <c r="Y235" s="124"/>
      <c r="Z235" s="124"/>
      <c r="AA235" s="124">
        <f>AA221+AA222+AA223+AA224+AA225+AA226+AA227+AA228+AA229+AA230+AA231+AA232+AA233+AA234</f>
        <v>377209681</v>
      </c>
      <c r="AB235" s="124"/>
      <c r="AC235" s="124"/>
      <c r="AD235" s="124"/>
      <c r="AE235" s="124"/>
      <c r="AF235" s="124">
        <f>AF221+AF222+AF223+AF224+AF225+AF226+AF227+AF228+AF229+AF230+AF231+AF232+AF233+AF234</f>
        <v>139890861</v>
      </c>
      <c r="AG235" s="124"/>
      <c r="AH235" s="124"/>
      <c r="AI235" s="124"/>
      <c r="AJ235" s="124"/>
    </row>
    <row r="236" spans="1:36" ht="15.75">
      <c r="A236" s="74"/>
      <c r="B236" s="74"/>
      <c r="C236" s="75"/>
      <c r="D236" s="75"/>
      <c r="E236" s="75"/>
      <c r="F236" s="75"/>
      <c r="G236" s="75"/>
      <c r="H236" s="75"/>
      <c r="I236" s="75"/>
      <c r="J236" s="75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</row>
    <row r="238" ht="18.75">
      <c r="A238" s="23" t="s">
        <v>162</v>
      </c>
    </row>
    <row r="239" ht="12.75" customHeight="1" thickBot="1"/>
    <row r="240" spans="1:47" ht="15.75">
      <c r="A240" s="154" t="s">
        <v>61</v>
      </c>
      <c r="B240" s="155"/>
      <c r="C240" s="155"/>
      <c r="D240" s="155"/>
      <c r="E240" s="155"/>
      <c r="F240" s="155"/>
      <c r="G240" s="155"/>
      <c r="H240" s="155"/>
      <c r="I240" s="155"/>
      <c r="J240" s="155"/>
      <c r="K240" s="155" t="s">
        <v>182</v>
      </c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  <c r="AN240" s="155"/>
      <c r="AO240" s="155"/>
      <c r="AP240" s="155"/>
      <c r="AQ240" s="155"/>
      <c r="AR240" s="155"/>
      <c r="AS240" s="155"/>
      <c r="AT240" s="155"/>
      <c r="AU240" s="157"/>
    </row>
    <row r="241" spans="1:47" s="36" customFormat="1" ht="50.25" customHeight="1">
      <c r="A241" s="156"/>
      <c r="B241" s="123"/>
      <c r="C241" s="123"/>
      <c r="D241" s="123"/>
      <c r="E241" s="123"/>
      <c r="F241" s="123"/>
      <c r="G241" s="123"/>
      <c r="H241" s="123"/>
      <c r="I241" s="123"/>
      <c r="J241" s="123"/>
      <c r="K241" s="121" t="s">
        <v>32</v>
      </c>
      <c r="L241" s="121"/>
      <c r="M241" s="121"/>
      <c r="N241" s="121"/>
      <c r="O241" s="121"/>
      <c r="P241" s="121" t="s">
        <v>63</v>
      </c>
      <c r="Q241" s="121"/>
      <c r="R241" s="121"/>
      <c r="S241" s="121"/>
      <c r="T241" s="121" t="s">
        <v>67</v>
      </c>
      <c r="U241" s="121"/>
      <c r="V241" s="121"/>
      <c r="W241" s="121"/>
      <c r="X241" s="121" t="s">
        <v>166</v>
      </c>
      <c r="Y241" s="121"/>
      <c r="Z241" s="121"/>
      <c r="AA241" s="121"/>
      <c r="AB241" s="121" t="s">
        <v>167</v>
      </c>
      <c r="AC241" s="121"/>
      <c r="AD241" s="121"/>
      <c r="AE241" s="121"/>
      <c r="AF241" s="121" t="s">
        <v>64</v>
      </c>
      <c r="AG241" s="121"/>
      <c r="AH241" s="121"/>
      <c r="AI241" s="121"/>
      <c r="AJ241" s="121" t="s">
        <v>68</v>
      </c>
      <c r="AK241" s="121"/>
      <c r="AL241" s="121"/>
      <c r="AM241" s="121"/>
      <c r="AN241" s="121" t="s">
        <v>65</v>
      </c>
      <c r="AO241" s="121"/>
      <c r="AP241" s="121"/>
      <c r="AQ241" s="121"/>
      <c r="AR241" s="121" t="s">
        <v>69</v>
      </c>
      <c r="AS241" s="121"/>
      <c r="AT241" s="121"/>
      <c r="AU241" s="158"/>
    </row>
    <row r="242" spans="1:47" ht="15.75" customHeight="1">
      <c r="A242" s="175">
        <v>211</v>
      </c>
      <c r="B242" s="176"/>
      <c r="C242" s="136" t="s">
        <v>45</v>
      </c>
      <c r="D242" s="159"/>
      <c r="E242" s="159"/>
      <c r="F242" s="159"/>
      <c r="G242" s="159"/>
      <c r="H242" s="159"/>
      <c r="I242" s="159"/>
      <c r="J242" s="183"/>
      <c r="K242" s="100">
        <f aca="true" t="shared" si="12" ref="K242:K247">P242+X242+AF242+AN242</f>
        <v>1549100561</v>
      </c>
      <c r="L242" s="100"/>
      <c r="M242" s="100"/>
      <c r="N242" s="100"/>
      <c r="O242" s="100"/>
      <c r="P242" s="110">
        <v>754134785</v>
      </c>
      <c r="Q242" s="110"/>
      <c r="R242" s="110"/>
      <c r="S242" s="110"/>
      <c r="T242" s="110">
        <f>367268888+2000000+21726808+105782000</f>
        <v>496777696</v>
      </c>
      <c r="U242" s="110"/>
      <c r="V242" s="110"/>
      <c r="W242" s="110"/>
      <c r="X242" s="110">
        <v>520429228</v>
      </c>
      <c r="Y242" s="110"/>
      <c r="Z242" s="110"/>
      <c r="AA242" s="110"/>
      <c r="AB242" s="110">
        <f>151637880+102194000+19067971</f>
        <v>272899851</v>
      </c>
      <c r="AC242" s="110"/>
      <c r="AD242" s="110"/>
      <c r="AE242" s="110"/>
      <c r="AF242" s="110">
        <v>206504628</v>
      </c>
      <c r="AG242" s="110"/>
      <c r="AH242" s="110"/>
      <c r="AI242" s="110"/>
      <c r="AJ242" s="110">
        <f>142753680+1676009+1293439</f>
        <v>145723128</v>
      </c>
      <c r="AK242" s="110"/>
      <c r="AL242" s="110"/>
      <c r="AM242" s="110"/>
      <c r="AN242" s="110">
        <v>68031920</v>
      </c>
      <c r="AO242" s="110"/>
      <c r="AP242" s="110"/>
      <c r="AQ242" s="110"/>
      <c r="AR242" s="110">
        <f>43572921+17500000+53999</f>
        <v>61126920</v>
      </c>
      <c r="AS242" s="110"/>
      <c r="AT242" s="110"/>
      <c r="AU242" s="132"/>
    </row>
    <row r="243" spans="1:47" s="60" customFormat="1" ht="18" customHeight="1">
      <c r="A243" s="145" t="s">
        <v>161</v>
      </c>
      <c r="B243" s="146"/>
      <c r="C243" s="146"/>
      <c r="D243" s="146"/>
      <c r="E243" s="146"/>
      <c r="F243" s="146"/>
      <c r="G243" s="146"/>
      <c r="H243" s="146"/>
      <c r="I243" s="146"/>
      <c r="J243" s="147"/>
      <c r="K243" s="100">
        <f t="shared" si="12"/>
        <v>618419361</v>
      </c>
      <c r="L243" s="100"/>
      <c r="M243" s="100"/>
      <c r="N243" s="100"/>
      <c r="O243" s="100"/>
      <c r="P243" s="110">
        <v>221334761</v>
      </c>
      <c r="Q243" s="110"/>
      <c r="R243" s="110"/>
      <c r="S243" s="110"/>
      <c r="T243" s="111">
        <v>105782000</v>
      </c>
      <c r="U243" s="111"/>
      <c r="V243" s="111"/>
      <c r="W243" s="111"/>
      <c r="X243" s="110">
        <v>315408100</v>
      </c>
      <c r="Y243" s="110"/>
      <c r="Z243" s="110"/>
      <c r="AA243" s="110"/>
      <c r="AB243" s="111">
        <v>102194000</v>
      </c>
      <c r="AC243" s="111"/>
      <c r="AD243" s="111"/>
      <c r="AE243" s="111"/>
      <c r="AF243" s="110">
        <v>60871500</v>
      </c>
      <c r="AG243" s="110"/>
      <c r="AH243" s="110"/>
      <c r="AI243" s="110"/>
      <c r="AJ243" s="111">
        <v>49550000</v>
      </c>
      <c r="AK243" s="111"/>
      <c r="AL243" s="111"/>
      <c r="AM243" s="111"/>
      <c r="AN243" s="110">
        <v>20805000</v>
      </c>
      <c r="AO243" s="110"/>
      <c r="AP243" s="110"/>
      <c r="AQ243" s="110"/>
      <c r="AR243" s="111">
        <v>17500000</v>
      </c>
      <c r="AS243" s="111"/>
      <c r="AT243" s="111"/>
      <c r="AU243" s="153"/>
    </row>
    <row r="244" spans="1:47" ht="34.5" customHeight="1">
      <c r="A244" s="175">
        <v>213</v>
      </c>
      <c r="B244" s="176"/>
      <c r="C244" s="177" t="s">
        <v>47</v>
      </c>
      <c r="D244" s="178"/>
      <c r="E244" s="178"/>
      <c r="F244" s="178"/>
      <c r="G244" s="178"/>
      <c r="H244" s="178"/>
      <c r="I244" s="178"/>
      <c r="J244" s="179"/>
      <c r="K244" s="180">
        <f t="shared" si="12"/>
        <v>384724697</v>
      </c>
      <c r="L244" s="181"/>
      <c r="M244" s="181"/>
      <c r="N244" s="181"/>
      <c r="O244" s="182"/>
      <c r="P244" s="160">
        <v>193937918</v>
      </c>
      <c r="Q244" s="161"/>
      <c r="R244" s="161"/>
      <c r="S244" s="163"/>
      <c r="T244" s="160">
        <f>92058848+5692489+524000+27714884</f>
        <v>125990221</v>
      </c>
      <c r="U244" s="161"/>
      <c r="V244" s="161"/>
      <c r="W244" s="163"/>
      <c r="X244" s="160">
        <v>123228877</v>
      </c>
      <c r="Y244" s="161"/>
      <c r="Z244" s="161"/>
      <c r="AA244" s="163"/>
      <c r="AB244" s="160">
        <f>36125011+18369000+4995831</f>
        <v>59489842</v>
      </c>
      <c r="AC244" s="161"/>
      <c r="AD244" s="161"/>
      <c r="AE244" s="163"/>
      <c r="AF244" s="160">
        <v>50019980</v>
      </c>
      <c r="AG244" s="161"/>
      <c r="AH244" s="161"/>
      <c r="AI244" s="163"/>
      <c r="AJ244" s="160">
        <f>36791594+9484300+439115+338871</f>
        <v>47053880</v>
      </c>
      <c r="AK244" s="161"/>
      <c r="AL244" s="161"/>
      <c r="AM244" s="163"/>
      <c r="AN244" s="160">
        <v>17537922</v>
      </c>
      <c r="AO244" s="161"/>
      <c r="AP244" s="161"/>
      <c r="AQ244" s="163"/>
      <c r="AR244" s="160">
        <f>11214574+4500000+14148</f>
        <v>15728722</v>
      </c>
      <c r="AS244" s="161"/>
      <c r="AT244" s="161"/>
      <c r="AU244" s="162"/>
    </row>
    <row r="245" spans="1:47" s="60" customFormat="1" ht="18" customHeight="1">
      <c r="A245" s="145" t="s">
        <v>161</v>
      </c>
      <c r="B245" s="146"/>
      <c r="C245" s="146"/>
      <c r="D245" s="146"/>
      <c r="E245" s="146"/>
      <c r="F245" s="146"/>
      <c r="G245" s="146"/>
      <c r="H245" s="146"/>
      <c r="I245" s="146"/>
      <c r="J245" s="147"/>
      <c r="K245" s="100">
        <f t="shared" si="12"/>
        <v>149521797</v>
      </c>
      <c r="L245" s="100"/>
      <c r="M245" s="100"/>
      <c r="N245" s="100"/>
      <c r="O245" s="100"/>
      <c r="P245" s="110">
        <v>58509797</v>
      </c>
      <c r="Q245" s="110"/>
      <c r="R245" s="110"/>
      <c r="S245" s="110"/>
      <c r="T245" s="111">
        <v>27714884</v>
      </c>
      <c r="U245" s="111"/>
      <c r="V245" s="111"/>
      <c r="W245" s="111"/>
      <c r="X245" s="110">
        <v>73195600</v>
      </c>
      <c r="Y245" s="110"/>
      <c r="Z245" s="110"/>
      <c r="AA245" s="110"/>
      <c r="AB245" s="111">
        <v>18369000</v>
      </c>
      <c r="AC245" s="111"/>
      <c r="AD245" s="111"/>
      <c r="AE245" s="111"/>
      <c r="AF245" s="110">
        <v>12450400</v>
      </c>
      <c r="AG245" s="110"/>
      <c r="AH245" s="110"/>
      <c r="AI245" s="110"/>
      <c r="AJ245" s="111">
        <v>9484300</v>
      </c>
      <c r="AK245" s="111"/>
      <c r="AL245" s="111"/>
      <c r="AM245" s="111"/>
      <c r="AN245" s="110">
        <v>5366000</v>
      </c>
      <c r="AO245" s="110"/>
      <c r="AP245" s="110"/>
      <c r="AQ245" s="110"/>
      <c r="AR245" s="111">
        <v>4500000</v>
      </c>
      <c r="AS245" s="111"/>
      <c r="AT245" s="111"/>
      <c r="AU245" s="153"/>
    </row>
    <row r="246" spans="1:47" ht="16.5" thickBot="1">
      <c r="A246" s="148">
        <v>900</v>
      </c>
      <c r="B246" s="149"/>
      <c r="C246" s="150" t="s">
        <v>57</v>
      </c>
      <c r="D246" s="150"/>
      <c r="E246" s="150"/>
      <c r="F246" s="150"/>
      <c r="G246" s="150"/>
      <c r="H246" s="150"/>
      <c r="I246" s="150"/>
      <c r="J246" s="150"/>
      <c r="K246" s="140">
        <f t="shared" si="12"/>
        <v>1933825258</v>
      </c>
      <c r="L246" s="140"/>
      <c r="M246" s="140"/>
      <c r="N246" s="140"/>
      <c r="O246" s="140"/>
      <c r="P246" s="140">
        <f>P242+P244</f>
        <v>948072703</v>
      </c>
      <c r="Q246" s="140"/>
      <c r="R246" s="140"/>
      <c r="S246" s="140"/>
      <c r="T246" s="171">
        <f>T242+T244</f>
        <v>622767917</v>
      </c>
      <c r="U246" s="172"/>
      <c r="V246" s="172"/>
      <c r="W246" s="173"/>
      <c r="X246" s="171">
        <f>X242+X244</f>
        <v>643658105</v>
      </c>
      <c r="Y246" s="172"/>
      <c r="Z246" s="172"/>
      <c r="AA246" s="173"/>
      <c r="AB246" s="171">
        <f>AB242+AB244</f>
        <v>332389693</v>
      </c>
      <c r="AC246" s="172"/>
      <c r="AD246" s="172"/>
      <c r="AE246" s="173"/>
      <c r="AF246" s="171">
        <f>AF242+AF244</f>
        <v>256524608</v>
      </c>
      <c r="AG246" s="172"/>
      <c r="AH246" s="172"/>
      <c r="AI246" s="173"/>
      <c r="AJ246" s="171">
        <f>AJ242+AJ244</f>
        <v>192777008</v>
      </c>
      <c r="AK246" s="172"/>
      <c r="AL246" s="172"/>
      <c r="AM246" s="173"/>
      <c r="AN246" s="171">
        <f>AN242+AN244</f>
        <v>85569842</v>
      </c>
      <c r="AO246" s="172"/>
      <c r="AP246" s="172"/>
      <c r="AQ246" s="173"/>
      <c r="AR246" s="171">
        <f>AR242+AR244</f>
        <v>76855642</v>
      </c>
      <c r="AS246" s="172"/>
      <c r="AT246" s="172"/>
      <c r="AU246" s="174"/>
    </row>
    <row r="247" spans="1:47" s="60" customFormat="1" ht="18" customHeight="1" thickBot="1">
      <c r="A247" s="145" t="s">
        <v>161</v>
      </c>
      <c r="B247" s="146"/>
      <c r="C247" s="146"/>
      <c r="D247" s="146"/>
      <c r="E247" s="146"/>
      <c r="F247" s="146"/>
      <c r="G247" s="146"/>
      <c r="H247" s="146"/>
      <c r="I247" s="146"/>
      <c r="J247" s="147"/>
      <c r="K247" s="100">
        <f t="shared" si="12"/>
        <v>767941158</v>
      </c>
      <c r="L247" s="100"/>
      <c r="M247" s="100"/>
      <c r="N247" s="100"/>
      <c r="O247" s="100"/>
      <c r="P247" s="110">
        <f>P243+P245</f>
        <v>279844558</v>
      </c>
      <c r="Q247" s="110"/>
      <c r="R247" s="110"/>
      <c r="S247" s="110"/>
      <c r="T247" s="111">
        <f>T243+T245</f>
        <v>133496884</v>
      </c>
      <c r="U247" s="111"/>
      <c r="V247" s="111"/>
      <c r="W247" s="111"/>
      <c r="X247" s="110">
        <f>X243+X245</f>
        <v>388603700</v>
      </c>
      <c r="Y247" s="110"/>
      <c r="Z247" s="110"/>
      <c r="AA247" s="110"/>
      <c r="AB247" s="111">
        <f>AB243+AB245</f>
        <v>120563000</v>
      </c>
      <c r="AC247" s="111"/>
      <c r="AD247" s="111"/>
      <c r="AE247" s="111"/>
      <c r="AF247" s="110">
        <f>AF243+AF245</f>
        <v>73321900</v>
      </c>
      <c r="AG247" s="110"/>
      <c r="AH247" s="110"/>
      <c r="AI247" s="110"/>
      <c r="AJ247" s="111">
        <f>AJ243+AJ245</f>
        <v>59034300</v>
      </c>
      <c r="AK247" s="111"/>
      <c r="AL247" s="111"/>
      <c r="AM247" s="111"/>
      <c r="AN247" s="110">
        <f>AN243+AN245</f>
        <v>26171000</v>
      </c>
      <c r="AO247" s="110"/>
      <c r="AP247" s="110"/>
      <c r="AQ247" s="110"/>
      <c r="AR247" s="111">
        <f>AR243+AR245</f>
        <v>22000000</v>
      </c>
      <c r="AS247" s="111"/>
      <c r="AT247" s="111"/>
      <c r="AU247" s="153"/>
    </row>
    <row r="248" spans="1:47" s="37" customFormat="1" ht="24" customHeight="1" thickBot="1">
      <c r="A248" s="142" t="s">
        <v>66</v>
      </c>
      <c r="B248" s="143"/>
      <c r="C248" s="143"/>
      <c r="D248" s="143"/>
      <c r="E248" s="143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4">
        <f>P246/Q235</f>
        <v>0.6276664151707081</v>
      </c>
      <c r="Q248" s="144"/>
      <c r="R248" s="144"/>
      <c r="S248" s="144"/>
      <c r="T248" s="138">
        <f>T246/Q235</f>
        <v>0.4123001376474807</v>
      </c>
      <c r="U248" s="138"/>
      <c r="V248" s="138"/>
      <c r="W248" s="138"/>
      <c r="X248" s="144">
        <f>X246/V235</f>
        <v>0.5493690378249318</v>
      </c>
      <c r="Y248" s="144"/>
      <c r="Z248" s="144"/>
      <c r="AA248" s="144"/>
      <c r="AB248" s="138">
        <f>AB246/V235</f>
        <v>0.28369813789004406</v>
      </c>
      <c r="AC248" s="138"/>
      <c r="AD248" s="138"/>
      <c r="AE248" s="138"/>
      <c r="AF248" s="144">
        <f>AF246/AA235</f>
        <v>0.6800583890634556</v>
      </c>
      <c r="AG248" s="144"/>
      <c r="AH248" s="144"/>
      <c r="AI248" s="144"/>
      <c r="AJ248" s="138">
        <f>AJ246/AA235</f>
        <v>0.5110606055733761</v>
      </c>
      <c r="AK248" s="138"/>
      <c r="AL248" s="138"/>
      <c r="AM248" s="138"/>
      <c r="AN248" s="144">
        <f>AN246/AF235</f>
        <v>0.6116900088276674</v>
      </c>
      <c r="AO248" s="144"/>
      <c r="AP248" s="144"/>
      <c r="AQ248" s="144"/>
      <c r="AR248" s="138">
        <f>AR246/AF235</f>
        <v>0.5493971618346105</v>
      </c>
      <c r="AS248" s="138"/>
      <c r="AT248" s="138"/>
      <c r="AU248" s="139"/>
    </row>
    <row r="250" ht="18.75">
      <c r="A250" s="23" t="s">
        <v>183</v>
      </c>
    </row>
    <row r="251" ht="11.25" customHeight="1" thickBot="1"/>
    <row r="252" spans="1:47" ht="15.75">
      <c r="A252" s="154" t="s">
        <v>61</v>
      </c>
      <c r="B252" s="155"/>
      <c r="C252" s="155"/>
      <c r="D252" s="155"/>
      <c r="E252" s="155"/>
      <c r="F252" s="155"/>
      <c r="G252" s="155"/>
      <c r="H252" s="155"/>
      <c r="I252" s="155"/>
      <c r="J252" s="155"/>
      <c r="K252" s="155" t="s">
        <v>182</v>
      </c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  <c r="AN252" s="155"/>
      <c r="AO252" s="155"/>
      <c r="AP252" s="155"/>
      <c r="AQ252" s="155"/>
      <c r="AR252" s="155"/>
      <c r="AS252" s="155"/>
      <c r="AT252" s="155"/>
      <c r="AU252" s="157"/>
    </row>
    <row r="253" spans="1:47" s="36" customFormat="1" ht="52.5" customHeight="1">
      <c r="A253" s="156"/>
      <c r="B253" s="123"/>
      <c r="C253" s="123"/>
      <c r="D253" s="123"/>
      <c r="E253" s="123"/>
      <c r="F253" s="123"/>
      <c r="G253" s="123"/>
      <c r="H253" s="123"/>
      <c r="I253" s="123"/>
      <c r="J253" s="123"/>
      <c r="K253" s="121" t="s">
        <v>32</v>
      </c>
      <c r="L253" s="121"/>
      <c r="M253" s="121"/>
      <c r="N253" s="121"/>
      <c r="O253" s="121"/>
      <c r="P253" s="121" t="s">
        <v>63</v>
      </c>
      <c r="Q253" s="121"/>
      <c r="R253" s="121"/>
      <c r="S253" s="121"/>
      <c r="T253" s="121" t="s">
        <v>67</v>
      </c>
      <c r="U253" s="121"/>
      <c r="V253" s="121"/>
      <c r="W253" s="121"/>
      <c r="X253" s="121" t="s">
        <v>166</v>
      </c>
      <c r="Y253" s="121"/>
      <c r="Z253" s="121"/>
      <c r="AA253" s="121"/>
      <c r="AB253" s="121" t="s">
        <v>167</v>
      </c>
      <c r="AC253" s="121"/>
      <c r="AD253" s="121"/>
      <c r="AE253" s="121"/>
      <c r="AF253" s="121" t="s">
        <v>64</v>
      </c>
      <c r="AG253" s="121"/>
      <c r="AH253" s="121"/>
      <c r="AI253" s="121"/>
      <c r="AJ253" s="121" t="s">
        <v>68</v>
      </c>
      <c r="AK253" s="121"/>
      <c r="AL253" s="121"/>
      <c r="AM253" s="121"/>
      <c r="AN253" s="121" t="s">
        <v>65</v>
      </c>
      <c r="AO253" s="121"/>
      <c r="AP253" s="121"/>
      <c r="AQ253" s="121"/>
      <c r="AR253" s="121" t="s">
        <v>69</v>
      </c>
      <c r="AS253" s="121"/>
      <c r="AT253" s="121"/>
      <c r="AU253" s="158"/>
    </row>
    <row r="254" spans="1:47" ht="26.25" customHeight="1">
      <c r="A254" s="133">
        <v>223</v>
      </c>
      <c r="B254" s="134"/>
      <c r="C254" s="135" t="s">
        <v>92</v>
      </c>
      <c r="D254" s="135"/>
      <c r="E254" s="135"/>
      <c r="F254" s="135"/>
      <c r="G254" s="135"/>
      <c r="H254" s="135"/>
      <c r="I254" s="135"/>
      <c r="J254" s="135"/>
      <c r="K254" s="100">
        <f>P254+X254+AF254+AN254</f>
        <v>56436000</v>
      </c>
      <c r="L254" s="100"/>
      <c r="M254" s="100"/>
      <c r="N254" s="100"/>
      <c r="O254" s="100"/>
      <c r="P254" s="110">
        <v>33244960</v>
      </c>
      <c r="Q254" s="110"/>
      <c r="R254" s="110"/>
      <c r="S254" s="110"/>
      <c r="T254" s="110">
        <v>33174960</v>
      </c>
      <c r="U254" s="110"/>
      <c r="V254" s="110"/>
      <c r="W254" s="110"/>
      <c r="X254" s="110">
        <v>15784960</v>
      </c>
      <c r="Y254" s="110"/>
      <c r="Z254" s="110"/>
      <c r="AA254" s="110"/>
      <c r="AB254" s="110">
        <v>15784960</v>
      </c>
      <c r="AC254" s="110"/>
      <c r="AD254" s="110"/>
      <c r="AE254" s="110"/>
      <c r="AF254" s="110">
        <v>7044800</v>
      </c>
      <c r="AG254" s="110"/>
      <c r="AH254" s="110"/>
      <c r="AI254" s="110"/>
      <c r="AJ254" s="110">
        <v>7044800</v>
      </c>
      <c r="AK254" s="110"/>
      <c r="AL254" s="110"/>
      <c r="AM254" s="110"/>
      <c r="AN254" s="110">
        <v>361280</v>
      </c>
      <c r="AO254" s="110"/>
      <c r="AP254" s="110"/>
      <c r="AQ254" s="110"/>
      <c r="AR254" s="110">
        <v>361280</v>
      </c>
      <c r="AS254" s="110"/>
      <c r="AT254" s="110"/>
      <c r="AU254" s="132"/>
    </row>
    <row r="255" spans="1:47" ht="24" customHeight="1">
      <c r="A255" s="133">
        <v>223</v>
      </c>
      <c r="B255" s="134"/>
      <c r="C255" s="135" t="s">
        <v>93</v>
      </c>
      <c r="D255" s="135"/>
      <c r="E255" s="135"/>
      <c r="F255" s="135"/>
      <c r="G255" s="135"/>
      <c r="H255" s="135"/>
      <c r="I255" s="135"/>
      <c r="J255" s="135"/>
      <c r="K255" s="100">
        <f>P255+X255+AF255+AN255</f>
        <v>10000000</v>
      </c>
      <c r="L255" s="100"/>
      <c r="M255" s="100"/>
      <c r="N255" s="100"/>
      <c r="O255" s="100"/>
      <c r="P255" s="110">
        <v>9000000</v>
      </c>
      <c r="Q255" s="110"/>
      <c r="R255" s="110"/>
      <c r="S255" s="110"/>
      <c r="T255" s="110">
        <v>9000000</v>
      </c>
      <c r="U255" s="110"/>
      <c r="V255" s="110"/>
      <c r="W255" s="110"/>
      <c r="X255" s="110">
        <v>1000000</v>
      </c>
      <c r="Y255" s="110"/>
      <c r="Z255" s="110"/>
      <c r="AA255" s="110"/>
      <c r="AB255" s="110">
        <v>1000000</v>
      </c>
      <c r="AC255" s="110"/>
      <c r="AD255" s="110"/>
      <c r="AE255" s="110"/>
      <c r="AF255" s="110"/>
      <c r="AG255" s="110"/>
      <c r="AH255" s="110"/>
      <c r="AI255" s="110"/>
      <c r="AJ255" s="110"/>
      <c r="AK255" s="110"/>
      <c r="AL255" s="110"/>
      <c r="AM255" s="110"/>
      <c r="AN255" s="110"/>
      <c r="AO255" s="110"/>
      <c r="AP255" s="110"/>
      <c r="AQ255" s="110"/>
      <c r="AR255" s="110"/>
      <c r="AS255" s="110"/>
      <c r="AT255" s="110"/>
      <c r="AU255" s="132"/>
    </row>
    <row r="256" spans="1:47" ht="31.5" customHeight="1">
      <c r="A256" s="133">
        <v>223</v>
      </c>
      <c r="B256" s="134"/>
      <c r="C256" s="135" t="s">
        <v>94</v>
      </c>
      <c r="D256" s="135"/>
      <c r="E256" s="135"/>
      <c r="F256" s="135"/>
      <c r="G256" s="135"/>
      <c r="H256" s="135"/>
      <c r="I256" s="135"/>
      <c r="J256" s="135"/>
      <c r="K256" s="100">
        <f>P256+X256+AF256+AN256</f>
        <v>47877100</v>
      </c>
      <c r="L256" s="100"/>
      <c r="M256" s="100"/>
      <c r="N256" s="100"/>
      <c r="O256" s="100"/>
      <c r="P256" s="110">
        <v>10690300</v>
      </c>
      <c r="Q256" s="110"/>
      <c r="R256" s="110"/>
      <c r="S256" s="110"/>
      <c r="T256" s="110">
        <v>7700000</v>
      </c>
      <c r="U256" s="110"/>
      <c r="V256" s="110"/>
      <c r="W256" s="110"/>
      <c r="X256" s="110">
        <v>26112000</v>
      </c>
      <c r="Y256" s="110"/>
      <c r="Z256" s="110"/>
      <c r="AA256" s="110"/>
      <c r="AB256" s="110">
        <v>15500000</v>
      </c>
      <c r="AC256" s="110"/>
      <c r="AD256" s="110"/>
      <c r="AE256" s="110"/>
      <c r="AF256" s="110">
        <v>10154800</v>
      </c>
      <c r="AG256" s="110"/>
      <c r="AH256" s="110"/>
      <c r="AI256" s="110"/>
      <c r="AJ256" s="110">
        <v>9890000</v>
      </c>
      <c r="AK256" s="110"/>
      <c r="AL256" s="110"/>
      <c r="AM256" s="110"/>
      <c r="AN256" s="110">
        <v>920000</v>
      </c>
      <c r="AO256" s="110"/>
      <c r="AP256" s="110"/>
      <c r="AQ256" s="110"/>
      <c r="AR256" s="110">
        <v>600000</v>
      </c>
      <c r="AS256" s="110"/>
      <c r="AT256" s="110"/>
      <c r="AU256" s="132"/>
    </row>
    <row r="257" spans="1:47" ht="26.25" customHeight="1">
      <c r="A257" s="286" t="s">
        <v>187</v>
      </c>
      <c r="B257" s="287"/>
      <c r="C257" s="287"/>
      <c r="D257" s="287"/>
      <c r="E257" s="287"/>
      <c r="F257" s="287"/>
      <c r="G257" s="287"/>
      <c r="H257" s="287"/>
      <c r="I257" s="287"/>
      <c r="J257" s="288"/>
      <c r="K257" s="284">
        <f>P257+X257+AF257+AN257</f>
        <v>21586900</v>
      </c>
      <c r="L257" s="284"/>
      <c r="M257" s="284"/>
      <c r="N257" s="284"/>
      <c r="O257" s="284"/>
      <c r="P257" s="284">
        <v>9984100</v>
      </c>
      <c r="Q257" s="284"/>
      <c r="R257" s="284"/>
      <c r="S257" s="284"/>
      <c r="T257" s="284"/>
      <c r="U257" s="284"/>
      <c r="V257" s="284"/>
      <c r="W257" s="284"/>
      <c r="X257" s="284">
        <v>8110400</v>
      </c>
      <c r="Y257" s="284"/>
      <c r="Z257" s="284"/>
      <c r="AA257" s="284"/>
      <c r="AB257" s="284"/>
      <c r="AC257" s="284"/>
      <c r="AD257" s="284"/>
      <c r="AE257" s="284"/>
      <c r="AF257" s="284">
        <v>3248700</v>
      </c>
      <c r="AG257" s="284"/>
      <c r="AH257" s="284"/>
      <c r="AI257" s="284"/>
      <c r="AJ257" s="284"/>
      <c r="AK257" s="284"/>
      <c r="AL257" s="284"/>
      <c r="AM257" s="284"/>
      <c r="AN257" s="284">
        <v>243700</v>
      </c>
      <c r="AO257" s="284"/>
      <c r="AP257" s="284"/>
      <c r="AQ257" s="284"/>
      <c r="AR257" s="284"/>
      <c r="AS257" s="284"/>
      <c r="AT257" s="284"/>
      <c r="AU257" s="285"/>
    </row>
    <row r="258" spans="1:47" ht="16.5" thickBot="1">
      <c r="A258" s="184">
        <v>900</v>
      </c>
      <c r="B258" s="185"/>
      <c r="C258" s="186" t="s">
        <v>57</v>
      </c>
      <c r="D258" s="186"/>
      <c r="E258" s="186"/>
      <c r="F258" s="186"/>
      <c r="G258" s="186"/>
      <c r="H258" s="186"/>
      <c r="I258" s="186"/>
      <c r="J258" s="186"/>
      <c r="K258" s="169">
        <f>P258+X258+AF258+AN258</f>
        <v>135900000</v>
      </c>
      <c r="L258" s="169"/>
      <c r="M258" s="169"/>
      <c r="N258" s="169"/>
      <c r="O258" s="169"/>
      <c r="P258" s="169">
        <f>P254+P255+P256+P257</f>
        <v>62919360</v>
      </c>
      <c r="Q258" s="169"/>
      <c r="R258" s="169"/>
      <c r="S258" s="169"/>
      <c r="T258" s="169">
        <f>T254+T255+T256+T257</f>
        <v>49874960</v>
      </c>
      <c r="U258" s="169"/>
      <c r="V258" s="169"/>
      <c r="W258" s="169"/>
      <c r="X258" s="169">
        <f>X254+X255+X256+X257</f>
        <v>51007360</v>
      </c>
      <c r="Y258" s="169"/>
      <c r="Z258" s="169"/>
      <c r="AA258" s="169"/>
      <c r="AB258" s="169">
        <f>AB254+AB255+AB256+AB257</f>
        <v>32284960</v>
      </c>
      <c r="AC258" s="169"/>
      <c r="AD258" s="169"/>
      <c r="AE258" s="169"/>
      <c r="AF258" s="169">
        <f>AF254+AF255+AF256+AF257</f>
        <v>20448300</v>
      </c>
      <c r="AG258" s="169"/>
      <c r="AH258" s="169"/>
      <c r="AI258" s="169"/>
      <c r="AJ258" s="169">
        <f>AJ254+AJ255+AJ256+AJ257</f>
        <v>16934800</v>
      </c>
      <c r="AK258" s="169"/>
      <c r="AL258" s="169"/>
      <c r="AM258" s="169"/>
      <c r="AN258" s="169">
        <f>AN254+AN255+AN256+AN257</f>
        <v>1524980</v>
      </c>
      <c r="AO258" s="169"/>
      <c r="AP258" s="169"/>
      <c r="AQ258" s="169"/>
      <c r="AR258" s="169">
        <f>AR254+AR255+AR256+AR257</f>
        <v>961280</v>
      </c>
      <c r="AS258" s="169"/>
      <c r="AT258" s="169"/>
      <c r="AU258" s="170"/>
    </row>
    <row r="259" spans="1:47" s="37" customFormat="1" ht="26.25" customHeight="1" thickBot="1">
      <c r="A259" s="164" t="s">
        <v>70</v>
      </c>
      <c r="B259" s="165"/>
      <c r="C259" s="165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6">
        <f>P258/Q235</f>
        <v>0.04165542263907501</v>
      </c>
      <c r="Q259" s="166"/>
      <c r="R259" s="166"/>
      <c r="S259" s="166"/>
      <c r="T259" s="167">
        <f>T258/Q235</f>
        <v>0.03301944803486496</v>
      </c>
      <c r="U259" s="167"/>
      <c r="V259" s="167"/>
      <c r="W259" s="167"/>
      <c r="X259" s="166">
        <f>X258/V235</f>
        <v>0.04353532421562518</v>
      </c>
      <c r="Y259" s="166"/>
      <c r="Z259" s="166"/>
      <c r="AA259" s="166"/>
      <c r="AB259" s="167">
        <f>AB258/V235</f>
        <v>0.027555556705708553</v>
      </c>
      <c r="AC259" s="167"/>
      <c r="AD259" s="167"/>
      <c r="AE259" s="167"/>
      <c r="AF259" s="166">
        <f>AF258/AA235</f>
        <v>0.05420937221385896</v>
      </c>
      <c r="AG259" s="166"/>
      <c r="AH259" s="166"/>
      <c r="AI259" s="166"/>
      <c r="AJ259" s="167">
        <f>AJ258/AA235</f>
        <v>0.04489492410455924</v>
      </c>
      <c r="AK259" s="167"/>
      <c r="AL259" s="167"/>
      <c r="AM259" s="167"/>
      <c r="AN259" s="166">
        <f>AN258/AF235</f>
        <v>0.010901212481635952</v>
      </c>
      <c r="AO259" s="166"/>
      <c r="AP259" s="166"/>
      <c r="AQ259" s="166"/>
      <c r="AR259" s="167">
        <f>AR258/AF235</f>
        <v>0.0068716426014419916</v>
      </c>
      <c r="AS259" s="167"/>
      <c r="AT259" s="167"/>
      <c r="AU259" s="168"/>
    </row>
    <row r="260" spans="1:50" s="37" customFormat="1" ht="26.25" customHeight="1">
      <c r="A260" s="289" t="s">
        <v>163</v>
      </c>
      <c r="B260" s="289"/>
      <c r="C260" s="289"/>
      <c r="D260" s="289"/>
      <c r="E260" s="289"/>
      <c r="F260" s="289"/>
      <c r="G260" s="289"/>
      <c r="H260" s="289"/>
      <c r="I260" s="289"/>
      <c r="J260" s="289"/>
      <c r="K260" s="289"/>
      <c r="L260" s="289"/>
      <c r="M260" s="289"/>
      <c r="N260" s="289"/>
      <c r="O260" s="289"/>
      <c r="P260" s="289"/>
      <c r="Q260" s="289"/>
      <c r="R260" s="289"/>
      <c r="S260" s="289"/>
      <c r="T260" s="289"/>
      <c r="U260" s="289"/>
      <c r="V260" s="289"/>
      <c r="W260" s="289"/>
      <c r="X260" s="289"/>
      <c r="Y260" s="289"/>
      <c r="Z260" s="289"/>
      <c r="AA260" s="289"/>
      <c r="AB260" s="289"/>
      <c r="AC260" s="289"/>
      <c r="AD260" s="289"/>
      <c r="AE260" s="289"/>
      <c r="AF260" s="289"/>
      <c r="AG260" s="289"/>
      <c r="AH260" s="289"/>
      <c r="AI260" s="289"/>
      <c r="AJ260" s="289"/>
      <c r="AK260" s="289"/>
      <c r="AL260" s="289"/>
      <c r="AM260" s="289"/>
      <c r="AN260" s="289"/>
      <c r="AO260" s="289"/>
      <c r="AP260" s="289"/>
      <c r="AQ260" s="289"/>
      <c r="AR260" s="289"/>
      <c r="AS260" s="289"/>
      <c r="AT260" s="289"/>
      <c r="AU260" s="289"/>
      <c r="AV260" s="289"/>
      <c r="AW260" s="289"/>
      <c r="AX260" s="289"/>
    </row>
    <row r="261" ht="10.5" customHeight="1"/>
    <row r="262" spans="1:50" ht="20.25" customHeight="1">
      <c r="A262" s="290" t="s">
        <v>184</v>
      </c>
      <c r="B262" s="290"/>
      <c r="C262" s="290"/>
      <c r="D262" s="290"/>
      <c r="E262" s="290"/>
      <c r="F262" s="290"/>
      <c r="G262" s="290"/>
      <c r="H262" s="290"/>
      <c r="I262" s="290"/>
      <c r="J262" s="290"/>
      <c r="K262" s="290"/>
      <c r="L262" s="290"/>
      <c r="M262" s="290"/>
      <c r="N262" s="290"/>
      <c r="O262" s="290"/>
      <c r="P262" s="290"/>
      <c r="Q262" s="290"/>
      <c r="R262" s="290"/>
      <c r="S262" s="290"/>
      <c r="T262" s="290"/>
      <c r="U262" s="290"/>
      <c r="V262" s="290"/>
      <c r="W262" s="290"/>
      <c r="X262" s="290"/>
      <c r="Y262" s="290"/>
      <c r="Z262" s="290"/>
      <c r="AA262" s="290"/>
      <c r="AB262" s="290"/>
      <c r="AC262" s="290"/>
      <c r="AD262" s="290"/>
      <c r="AE262" s="290"/>
      <c r="AF262" s="290"/>
      <c r="AG262" s="290"/>
      <c r="AH262" s="290"/>
      <c r="AI262" s="290"/>
      <c r="AJ262" s="290"/>
      <c r="AK262" s="290"/>
      <c r="AL262" s="290"/>
      <c r="AM262" s="290"/>
      <c r="AN262" s="290"/>
      <c r="AO262" s="290"/>
      <c r="AP262" s="290"/>
      <c r="AQ262" s="290"/>
      <c r="AR262" s="290"/>
      <c r="AS262" s="290"/>
      <c r="AT262" s="290"/>
      <c r="AU262" s="290"/>
      <c r="AV262" s="290"/>
      <c r="AW262" s="290"/>
      <c r="AX262" s="290"/>
    </row>
    <row r="263" ht="16.5" thickBot="1"/>
    <row r="264" spans="1:47" ht="15.75">
      <c r="A264" s="154" t="s">
        <v>61</v>
      </c>
      <c r="B264" s="155"/>
      <c r="C264" s="155"/>
      <c r="D264" s="155"/>
      <c r="E264" s="155"/>
      <c r="F264" s="155"/>
      <c r="G264" s="155"/>
      <c r="H264" s="155"/>
      <c r="I264" s="155"/>
      <c r="J264" s="155"/>
      <c r="K264" s="155" t="s">
        <v>182</v>
      </c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  <c r="AN264" s="155"/>
      <c r="AO264" s="155"/>
      <c r="AP264" s="155"/>
      <c r="AQ264" s="155"/>
      <c r="AR264" s="155"/>
      <c r="AS264" s="155"/>
      <c r="AT264" s="155"/>
      <c r="AU264" s="157"/>
    </row>
    <row r="265" spans="1:47" s="36" customFormat="1" ht="52.5" customHeight="1">
      <c r="A265" s="156"/>
      <c r="B265" s="123"/>
      <c r="C265" s="123"/>
      <c r="D265" s="123"/>
      <c r="E265" s="123"/>
      <c r="F265" s="123"/>
      <c r="G265" s="123"/>
      <c r="H265" s="123"/>
      <c r="I265" s="123"/>
      <c r="J265" s="123"/>
      <c r="K265" s="121" t="s">
        <v>32</v>
      </c>
      <c r="L265" s="121"/>
      <c r="M265" s="121"/>
      <c r="N265" s="121"/>
      <c r="O265" s="121"/>
      <c r="P265" s="121" t="s">
        <v>63</v>
      </c>
      <c r="Q265" s="121"/>
      <c r="R265" s="121"/>
      <c r="S265" s="121"/>
      <c r="T265" s="121" t="s">
        <v>67</v>
      </c>
      <c r="U265" s="121"/>
      <c r="V265" s="121"/>
      <c r="W265" s="121"/>
      <c r="X265" s="121" t="s">
        <v>166</v>
      </c>
      <c r="Y265" s="121"/>
      <c r="Z265" s="121"/>
      <c r="AA265" s="121"/>
      <c r="AB265" s="121" t="s">
        <v>167</v>
      </c>
      <c r="AC265" s="121"/>
      <c r="AD265" s="121"/>
      <c r="AE265" s="121"/>
      <c r="AF265" s="121" t="s">
        <v>64</v>
      </c>
      <c r="AG265" s="121"/>
      <c r="AH265" s="121"/>
      <c r="AI265" s="121"/>
      <c r="AJ265" s="121" t="s">
        <v>68</v>
      </c>
      <c r="AK265" s="121"/>
      <c r="AL265" s="121"/>
      <c r="AM265" s="121"/>
      <c r="AN265" s="121" t="s">
        <v>65</v>
      </c>
      <c r="AO265" s="121"/>
      <c r="AP265" s="121"/>
      <c r="AQ265" s="121"/>
      <c r="AR265" s="121" t="s">
        <v>69</v>
      </c>
      <c r="AS265" s="121"/>
      <c r="AT265" s="121"/>
      <c r="AU265" s="158"/>
    </row>
    <row r="266" spans="1:47" ht="24" customHeight="1">
      <c r="A266" s="133">
        <v>262</v>
      </c>
      <c r="B266" s="134"/>
      <c r="C266" s="135" t="s">
        <v>54</v>
      </c>
      <c r="D266" s="135"/>
      <c r="E266" s="135"/>
      <c r="F266" s="135"/>
      <c r="G266" s="135"/>
      <c r="H266" s="135"/>
      <c r="I266" s="135"/>
      <c r="J266" s="212"/>
      <c r="K266" s="100">
        <f aca="true" t="shared" si="13" ref="K266:K271">P266+X266+AF266+AN266</f>
        <v>20995100</v>
      </c>
      <c r="L266" s="100"/>
      <c r="M266" s="100"/>
      <c r="N266" s="100"/>
      <c r="O266" s="100"/>
      <c r="P266" s="110">
        <v>10239252</v>
      </c>
      <c r="Q266" s="110"/>
      <c r="R266" s="110"/>
      <c r="S266" s="110"/>
      <c r="T266" s="110">
        <f>7851422</f>
        <v>7851422</v>
      </c>
      <c r="U266" s="110"/>
      <c r="V266" s="110"/>
      <c r="W266" s="110"/>
      <c r="X266" s="110">
        <v>4078806</v>
      </c>
      <c r="Y266" s="110"/>
      <c r="Z266" s="110"/>
      <c r="AA266" s="110"/>
      <c r="AB266" s="110">
        <v>4078806</v>
      </c>
      <c r="AC266" s="110"/>
      <c r="AD266" s="110"/>
      <c r="AE266" s="110"/>
      <c r="AF266" s="110">
        <v>5711874</v>
      </c>
      <c r="AG266" s="110"/>
      <c r="AH266" s="110"/>
      <c r="AI266" s="110"/>
      <c r="AJ266" s="110">
        <v>5711874</v>
      </c>
      <c r="AK266" s="110"/>
      <c r="AL266" s="110"/>
      <c r="AM266" s="110"/>
      <c r="AN266" s="110">
        <v>965168</v>
      </c>
      <c r="AO266" s="110"/>
      <c r="AP266" s="110"/>
      <c r="AQ266" s="110"/>
      <c r="AR266" s="110">
        <v>874442</v>
      </c>
      <c r="AS266" s="110"/>
      <c r="AT266" s="110"/>
      <c r="AU266" s="132"/>
    </row>
    <row r="267" spans="1:47" s="60" customFormat="1" ht="18" customHeight="1">
      <c r="A267" s="145" t="s">
        <v>161</v>
      </c>
      <c r="B267" s="146"/>
      <c r="C267" s="146"/>
      <c r="D267" s="146"/>
      <c r="E267" s="146"/>
      <c r="F267" s="146"/>
      <c r="G267" s="146"/>
      <c r="H267" s="146"/>
      <c r="I267" s="146"/>
      <c r="J267" s="147"/>
      <c r="K267" s="100">
        <f t="shared" si="13"/>
        <v>0</v>
      </c>
      <c r="L267" s="100"/>
      <c r="M267" s="100"/>
      <c r="N267" s="100"/>
      <c r="O267" s="100"/>
      <c r="P267" s="110">
        <v>0</v>
      </c>
      <c r="Q267" s="110"/>
      <c r="R267" s="110"/>
      <c r="S267" s="110"/>
      <c r="T267" s="111">
        <v>0</v>
      </c>
      <c r="U267" s="111"/>
      <c r="V267" s="111"/>
      <c r="W267" s="111"/>
      <c r="X267" s="110">
        <v>0</v>
      </c>
      <c r="Y267" s="110"/>
      <c r="Z267" s="110"/>
      <c r="AA267" s="110"/>
      <c r="AB267" s="111">
        <v>0</v>
      </c>
      <c r="AC267" s="111"/>
      <c r="AD267" s="111"/>
      <c r="AE267" s="111"/>
      <c r="AF267" s="110">
        <v>0</v>
      </c>
      <c r="AG267" s="110"/>
      <c r="AH267" s="110"/>
      <c r="AI267" s="110"/>
      <c r="AJ267" s="111">
        <v>0</v>
      </c>
      <c r="AK267" s="111"/>
      <c r="AL267" s="111"/>
      <c r="AM267" s="111"/>
      <c r="AN267" s="110">
        <v>0</v>
      </c>
      <c r="AO267" s="110"/>
      <c r="AP267" s="110"/>
      <c r="AQ267" s="110"/>
      <c r="AR267" s="111">
        <v>0</v>
      </c>
      <c r="AS267" s="111"/>
      <c r="AT267" s="111"/>
      <c r="AU267" s="153"/>
    </row>
    <row r="268" spans="1:47" ht="18.75" customHeight="1">
      <c r="A268" s="133">
        <v>290</v>
      </c>
      <c r="B268" s="134"/>
      <c r="C268" s="135" t="s">
        <v>46</v>
      </c>
      <c r="D268" s="135"/>
      <c r="E268" s="135"/>
      <c r="F268" s="135"/>
      <c r="G268" s="135"/>
      <c r="H268" s="135"/>
      <c r="I268" s="135"/>
      <c r="J268" s="136"/>
      <c r="K268" s="100">
        <f t="shared" si="13"/>
        <v>350365557</v>
      </c>
      <c r="L268" s="100"/>
      <c r="M268" s="100"/>
      <c r="N268" s="100"/>
      <c r="O268" s="100"/>
      <c r="P268" s="110">
        <v>188457790</v>
      </c>
      <c r="Q268" s="110"/>
      <c r="R268" s="110"/>
      <c r="S268" s="110"/>
      <c r="T268" s="110">
        <f>151203040</f>
        <v>151203040</v>
      </c>
      <c r="U268" s="110"/>
      <c r="V268" s="110"/>
      <c r="W268" s="110"/>
      <c r="X268" s="110">
        <v>80942832</v>
      </c>
      <c r="Y268" s="110"/>
      <c r="Z268" s="110"/>
      <c r="AA268" s="110"/>
      <c r="AB268" s="110">
        <f>67946350+6500000</f>
        <v>74446350</v>
      </c>
      <c r="AC268" s="110"/>
      <c r="AD268" s="110"/>
      <c r="AE268" s="110"/>
      <c r="AF268" s="110">
        <v>57603653</v>
      </c>
      <c r="AG268" s="110"/>
      <c r="AH268" s="110"/>
      <c r="AI268" s="110"/>
      <c r="AJ268" s="110">
        <f>55527153+1920000</f>
        <v>57447153</v>
      </c>
      <c r="AK268" s="110"/>
      <c r="AL268" s="110"/>
      <c r="AM268" s="110"/>
      <c r="AN268" s="110">
        <v>23361282</v>
      </c>
      <c r="AO268" s="110"/>
      <c r="AP268" s="110"/>
      <c r="AQ268" s="110"/>
      <c r="AR268" s="110">
        <f>14434835+7618447</f>
        <v>22053282</v>
      </c>
      <c r="AS268" s="110"/>
      <c r="AT268" s="110"/>
      <c r="AU268" s="132"/>
    </row>
    <row r="269" spans="1:47" s="60" customFormat="1" ht="18" customHeight="1">
      <c r="A269" s="145" t="s">
        <v>161</v>
      </c>
      <c r="B269" s="146"/>
      <c r="C269" s="146"/>
      <c r="D269" s="146"/>
      <c r="E269" s="146"/>
      <c r="F269" s="146"/>
      <c r="G269" s="146"/>
      <c r="H269" s="146"/>
      <c r="I269" s="146"/>
      <c r="J269" s="147"/>
      <c r="K269" s="100">
        <f t="shared" si="13"/>
        <v>44364757</v>
      </c>
      <c r="L269" s="100"/>
      <c r="M269" s="100"/>
      <c r="N269" s="100"/>
      <c r="O269" s="100"/>
      <c r="P269" s="110">
        <v>23322810</v>
      </c>
      <c r="Q269" s="110"/>
      <c r="R269" s="110"/>
      <c r="S269" s="110"/>
      <c r="T269" s="111">
        <v>21148000</v>
      </c>
      <c r="U269" s="111"/>
      <c r="V269" s="111"/>
      <c r="W269" s="111"/>
      <c r="X269" s="110">
        <v>11227000</v>
      </c>
      <c r="Y269" s="110"/>
      <c r="Z269" s="110"/>
      <c r="AA269" s="110"/>
      <c r="AB269" s="111">
        <v>6500000</v>
      </c>
      <c r="AC269" s="111"/>
      <c r="AD269" s="111"/>
      <c r="AE269" s="111"/>
      <c r="AF269" s="110">
        <v>2076500</v>
      </c>
      <c r="AG269" s="110"/>
      <c r="AH269" s="110"/>
      <c r="AI269" s="110"/>
      <c r="AJ269" s="111">
        <v>1920000</v>
      </c>
      <c r="AK269" s="111"/>
      <c r="AL269" s="111"/>
      <c r="AM269" s="111"/>
      <c r="AN269" s="110">
        <v>7738447</v>
      </c>
      <c r="AO269" s="110"/>
      <c r="AP269" s="110"/>
      <c r="AQ269" s="110"/>
      <c r="AR269" s="111">
        <v>7618447</v>
      </c>
      <c r="AS269" s="111"/>
      <c r="AT269" s="111"/>
      <c r="AU269" s="153"/>
    </row>
    <row r="270" spans="1:47" ht="15.75">
      <c r="A270" s="148">
        <v>900</v>
      </c>
      <c r="B270" s="149"/>
      <c r="C270" s="150" t="s">
        <v>57</v>
      </c>
      <c r="D270" s="150"/>
      <c r="E270" s="150"/>
      <c r="F270" s="150"/>
      <c r="G270" s="150"/>
      <c r="H270" s="150"/>
      <c r="I270" s="150"/>
      <c r="J270" s="150"/>
      <c r="K270" s="140">
        <f t="shared" si="13"/>
        <v>371360657</v>
      </c>
      <c r="L270" s="140"/>
      <c r="M270" s="140"/>
      <c r="N270" s="140"/>
      <c r="O270" s="140"/>
      <c r="P270" s="140">
        <f>P266+P268</f>
        <v>198697042</v>
      </c>
      <c r="Q270" s="140"/>
      <c r="R270" s="140"/>
      <c r="S270" s="140"/>
      <c r="T270" s="140">
        <f>T266+T268</f>
        <v>159054462</v>
      </c>
      <c r="U270" s="140"/>
      <c r="V270" s="140"/>
      <c r="W270" s="140"/>
      <c r="X270" s="140">
        <f>X266+X268</f>
        <v>85021638</v>
      </c>
      <c r="Y270" s="140"/>
      <c r="Z270" s="140"/>
      <c r="AA270" s="140"/>
      <c r="AB270" s="140">
        <f>AB266+AB268</f>
        <v>78525156</v>
      </c>
      <c r="AC270" s="140"/>
      <c r="AD270" s="140"/>
      <c r="AE270" s="140"/>
      <c r="AF270" s="140">
        <f>AF266+AF268</f>
        <v>63315527</v>
      </c>
      <c r="AG270" s="140"/>
      <c r="AH270" s="140"/>
      <c r="AI270" s="140"/>
      <c r="AJ270" s="140">
        <f>AJ266+AJ268</f>
        <v>63159027</v>
      </c>
      <c r="AK270" s="140"/>
      <c r="AL270" s="140"/>
      <c r="AM270" s="140"/>
      <c r="AN270" s="140">
        <f>AN266+AN268</f>
        <v>24326450</v>
      </c>
      <c r="AO270" s="140"/>
      <c r="AP270" s="140"/>
      <c r="AQ270" s="140"/>
      <c r="AR270" s="140">
        <f>AR266+AR268</f>
        <v>22927724</v>
      </c>
      <c r="AS270" s="140"/>
      <c r="AT270" s="140"/>
      <c r="AU270" s="141"/>
    </row>
    <row r="271" spans="1:47" s="60" customFormat="1" ht="18" customHeight="1" thickBot="1">
      <c r="A271" s="145" t="s">
        <v>161</v>
      </c>
      <c r="B271" s="146"/>
      <c r="C271" s="146"/>
      <c r="D271" s="146"/>
      <c r="E271" s="146"/>
      <c r="F271" s="146"/>
      <c r="G271" s="146"/>
      <c r="H271" s="146"/>
      <c r="I271" s="146"/>
      <c r="J271" s="147"/>
      <c r="K271" s="100">
        <f t="shared" si="13"/>
        <v>44364757</v>
      </c>
      <c r="L271" s="100"/>
      <c r="M271" s="100"/>
      <c r="N271" s="100"/>
      <c r="O271" s="100"/>
      <c r="P271" s="110">
        <f>P267+P269</f>
        <v>23322810</v>
      </c>
      <c r="Q271" s="110"/>
      <c r="R271" s="110"/>
      <c r="S271" s="110"/>
      <c r="T271" s="111">
        <f>T267+T269</f>
        <v>21148000</v>
      </c>
      <c r="U271" s="111"/>
      <c r="V271" s="111"/>
      <c r="W271" s="111"/>
      <c r="X271" s="110">
        <f>X267+X269</f>
        <v>11227000</v>
      </c>
      <c r="Y271" s="110"/>
      <c r="Z271" s="110"/>
      <c r="AA271" s="110"/>
      <c r="AB271" s="111">
        <f>AB267+AB269</f>
        <v>6500000</v>
      </c>
      <c r="AC271" s="111"/>
      <c r="AD271" s="111"/>
      <c r="AE271" s="111"/>
      <c r="AF271" s="110">
        <f>AF267+AF269</f>
        <v>2076500</v>
      </c>
      <c r="AG271" s="110"/>
      <c r="AH271" s="110"/>
      <c r="AI271" s="110"/>
      <c r="AJ271" s="111">
        <f>AJ267+AJ269</f>
        <v>1920000</v>
      </c>
      <c r="AK271" s="111"/>
      <c r="AL271" s="111"/>
      <c r="AM271" s="111"/>
      <c r="AN271" s="110">
        <f>AN267+AN269</f>
        <v>7738447</v>
      </c>
      <c r="AO271" s="110"/>
      <c r="AP271" s="110"/>
      <c r="AQ271" s="110"/>
      <c r="AR271" s="111">
        <f>AR267+AR269</f>
        <v>7618447</v>
      </c>
      <c r="AS271" s="111"/>
      <c r="AT271" s="111"/>
      <c r="AU271" s="153"/>
    </row>
    <row r="272" spans="1:47" s="37" customFormat="1" ht="34.5" customHeight="1" thickBot="1">
      <c r="A272" s="142" t="s">
        <v>208</v>
      </c>
      <c r="B272" s="143"/>
      <c r="C272" s="143"/>
      <c r="D272" s="143"/>
      <c r="E272" s="143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4">
        <f>P270/Q235</f>
        <v>0.13154630405719384</v>
      </c>
      <c r="Q272" s="144"/>
      <c r="R272" s="144"/>
      <c r="S272" s="144"/>
      <c r="T272" s="138">
        <f>T270/Q235</f>
        <v>0.10530114796527963</v>
      </c>
      <c r="U272" s="138"/>
      <c r="V272" s="138"/>
      <c r="W272" s="138"/>
      <c r="X272" s="144">
        <f>X270/V235</f>
        <v>0.07256687222537135</v>
      </c>
      <c r="Y272" s="144"/>
      <c r="Z272" s="144"/>
      <c r="AA272" s="144"/>
      <c r="AB272" s="138">
        <f>AB270/V235</f>
        <v>0.06702205574925942</v>
      </c>
      <c r="AC272" s="138"/>
      <c r="AD272" s="138"/>
      <c r="AE272" s="138"/>
      <c r="AF272" s="144">
        <f>AF270/AA235</f>
        <v>0.16785233833911065</v>
      </c>
      <c r="AG272" s="144"/>
      <c r="AH272" s="144"/>
      <c r="AI272" s="144"/>
      <c r="AJ272" s="138">
        <f>AJ270/AA235</f>
        <v>0.16743744972971678</v>
      </c>
      <c r="AK272" s="138"/>
      <c r="AL272" s="138"/>
      <c r="AM272" s="138"/>
      <c r="AN272" s="144">
        <f>AN270/AF235</f>
        <v>0.17389592019167</v>
      </c>
      <c r="AO272" s="144"/>
      <c r="AP272" s="144"/>
      <c r="AQ272" s="144"/>
      <c r="AR272" s="138">
        <f>AR270/AF235</f>
        <v>0.1638972255664364</v>
      </c>
      <c r="AS272" s="138"/>
      <c r="AT272" s="138"/>
      <c r="AU272" s="139"/>
    </row>
    <row r="273" spans="1:47" s="37" customFormat="1" ht="20.25" customHeight="1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8"/>
      <c r="Q273" s="78"/>
      <c r="R273" s="78"/>
      <c r="S273" s="78"/>
      <c r="T273" s="79"/>
      <c r="U273" s="79"/>
      <c r="V273" s="79"/>
      <c r="W273" s="79"/>
      <c r="X273" s="78"/>
      <c r="Y273" s="78"/>
      <c r="Z273" s="78"/>
      <c r="AA273" s="78"/>
      <c r="AB273" s="79"/>
      <c r="AC273" s="79"/>
      <c r="AD273" s="79"/>
      <c r="AE273" s="79"/>
      <c r="AF273" s="78"/>
      <c r="AG273" s="78"/>
      <c r="AH273" s="78"/>
      <c r="AI273" s="78"/>
      <c r="AJ273" s="79"/>
      <c r="AK273" s="79"/>
      <c r="AL273" s="79"/>
      <c r="AM273" s="79"/>
      <c r="AN273" s="78"/>
      <c r="AO273" s="78"/>
      <c r="AP273" s="78"/>
      <c r="AQ273" s="78"/>
      <c r="AR273" s="79"/>
      <c r="AS273" s="79"/>
      <c r="AT273" s="79"/>
      <c r="AU273" s="79"/>
    </row>
    <row r="274" ht="18.75">
      <c r="A274" s="23" t="s">
        <v>164</v>
      </c>
    </row>
    <row r="275" ht="16.5" thickBot="1"/>
    <row r="276" spans="1:47" ht="15.75">
      <c r="A276" s="154" t="s">
        <v>61</v>
      </c>
      <c r="B276" s="155"/>
      <c r="C276" s="155"/>
      <c r="D276" s="155"/>
      <c r="E276" s="155"/>
      <c r="F276" s="155"/>
      <c r="G276" s="155"/>
      <c r="H276" s="155"/>
      <c r="I276" s="155"/>
      <c r="J276" s="155"/>
      <c r="K276" s="155" t="s">
        <v>182</v>
      </c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155"/>
      <c r="AQ276" s="155"/>
      <c r="AR276" s="155"/>
      <c r="AS276" s="155"/>
      <c r="AT276" s="155"/>
      <c r="AU276" s="157"/>
    </row>
    <row r="277" spans="1:47" s="36" customFormat="1" ht="52.5" customHeight="1">
      <c r="A277" s="156"/>
      <c r="B277" s="123"/>
      <c r="C277" s="123"/>
      <c r="D277" s="123"/>
      <c r="E277" s="123"/>
      <c r="F277" s="123"/>
      <c r="G277" s="123"/>
      <c r="H277" s="123"/>
      <c r="I277" s="123"/>
      <c r="J277" s="123"/>
      <c r="K277" s="121" t="s">
        <v>32</v>
      </c>
      <c r="L277" s="121"/>
      <c r="M277" s="121"/>
      <c r="N277" s="121"/>
      <c r="O277" s="121"/>
      <c r="P277" s="121" t="s">
        <v>63</v>
      </c>
      <c r="Q277" s="121"/>
      <c r="R277" s="121"/>
      <c r="S277" s="121"/>
      <c r="T277" s="121" t="s">
        <v>67</v>
      </c>
      <c r="U277" s="121"/>
      <c r="V277" s="121"/>
      <c r="W277" s="121"/>
      <c r="X277" s="121" t="s">
        <v>166</v>
      </c>
      <c r="Y277" s="121"/>
      <c r="Z277" s="121"/>
      <c r="AA277" s="121"/>
      <c r="AB277" s="121" t="s">
        <v>167</v>
      </c>
      <c r="AC277" s="121"/>
      <c r="AD277" s="121"/>
      <c r="AE277" s="121"/>
      <c r="AF277" s="121" t="s">
        <v>64</v>
      </c>
      <c r="AG277" s="121"/>
      <c r="AH277" s="121"/>
      <c r="AI277" s="121"/>
      <c r="AJ277" s="121" t="s">
        <v>68</v>
      </c>
      <c r="AK277" s="121"/>
      <c r="AL277" s="121"/>
      <c r="AM277" s="121"/>
      <c r="AN277" s="121" t="s">
        <v>65</v>
      </c>
      <c r="AO277" s="121"/>
      <c r="AP277" s="121"/>
      <c r="AQ277" s="121"/>
      <c r="AR277" s="121" t="s">
        <v>69</v>
      </c>
      <c r="AS277" s="121"/>
      <c r="AT277" s="121"/>
      <c r="AU277" s="158"/>
    </row>
    <row r="278" spans="1:47" ht="24" customHeight="1">
      <c r="A278" s="133">
        <v>225</v>
      </c>
      <c r="B278" s="134"/>
      <c r="C278" s="135" t="s">
        <v>52</v>
      </c>
      <c r="D278" s="135"/>
      <c r="E278" s="135"/>
      <c r="F278" s="135"/>
      <c r="G278" s="135"/>
      <c r="H278" s="135"/>
      <c r="I278" s="135"/>
      <c r="J278" s="136"/>
      <c r="K278" s="100">
        <f aca="true" t="shared" si="14" ref="K278:K287">P278+X278+AF278+AN278</f>
        <v>90802081</v>
      </c>
      <c r="L278" s="100"/>
      <c r="M278" s="100"/>
      <c r="N278" s="100"/>
      <c r="O278" s="100"/>
      <c r="P278" s="110">
        <v>46283251</v>
      </c>
      <c r="Q278" s="110"/>
      <c r="R278" s="110"/>
      <c r="S278" s="110"/>
      <c r="T278" s="110">
        <f>27570910+800000+5105000+13170</f>
        <v>33489080</v>
      </c>
      <c r="U278" s="110"/>
      <c r="V278" s="110"/>
      <c r="W278" s="110"/>
      <c r="X278" s="110">
        <v>36980787</v>
      </c>
      <c r="Y278" s="110"/>
      <c r="Z278" s="110"/>
      <c r="AA278" s="110"/>
      <c r="AB278" s="110">
        <f>9878827+4460+850000+10615000</f>
        <v>21348287</v>
      </c>
      <c r="AC278" s="110"/>
      <c r="AD278" s="110"/>
      <c r="AE278" s="110"/>
      <c r="AF278" s="110">
        <v>4273333</v>
      </c>
      <c r="AG278" s="110"/>
      <c r="AH278" s="110"/>
      <c r="AI278" s="110"/>
      <c r="AJ278" s="110">
        <f>3237153+900000+21180</f>
        <v>4158333</v>
      </c>
      <c r="AK278" s="110"/>
      <c r="AL278" s="110"/>
      <c r="AM278" s="110"/>
      <c r="AN278" s="110">
        <v>3264710</v>
      </c>
      <c r="AO278" s="110"/>
      <c r="AP278" s="110"/>
      <c r="AQ278" s="110"/>
      <c r="AR278" s="110">
        <f>134710+3000000</f>
        <v>3134710</v>
      </c>
      <c r="AS278" s="110"/>
      <c r="AT278" s="110"/>
      <c r="AU278" s="132"/>
    </row>
    <row r="279" spans="1:47" s="60" customFormat="1" ht="18" customHeight="1">
      <c r="A279" s="145" t="s">
        <v>161</v>
      </c>
      <c r="B279" s="146"/>
      <c r="C279" s="146"/>
      <c r="D279" s="146"/>
      <c r="E279" s="146"/>
      <c r="F279" s="146"/>
      <c r="G279" s="146"/>
      <c r="H279" s="146"/>
      <c r="I279" s="146"/>
      <c r="J279" s="147"/>
      <c r="K279" s="100">
        <f t="shared" si="14"/>
        <v>48170481</v>
      </c>
      <c r="L279" s="100"/>
      <c r="M279" s="100"/>
      <c r="N279" s="100"/>
      <c r="O279" s="100"/>
      <c r="P279" s="110">
        <v>17778981</v>
      </c>
      <c r="Q279" s="110"/>
      <c r="R279" s="110"/>
      <c r="S279" s="110"/>
      <c r="T279" s="111">
        <v>5105000</v>
      </c>
      <c r="U279" s="111"/>
      <c r="V279" s="111"/>
      <c r="W279" s="111"/>
      <c r="X279" s="110">
        <v>26246500</v>
      </c>
      <c r="Y279" s="110"/>
      <c r="Z279" s="110"/>
      <c r="AA279" s="110"/>
      <c r="AB279" s="111">
        <v>10615000</v>
      </c>
      <c r="AC279" s="111"/>
      <c r="AD279" s="111"/>
      <c r="AE279" s="111"/>
      <c r="AF279" s="110">
        <v>1015000</v>
      </c>
      <c r="AG279" s="110"/>
      <c r="AH279" s="110"/>
      <c r="AI279" s="110"/>
      <c r="AJ279" s="111">
        <v>900000</v>
      </c>
      <c r="AK279" s="111"/>
      <c r="AL279" s="111"/>
      <c r="AM279" s="111"/>
      <c r="AN279" s="110">
        <v>3130000</v>
      </c>
      <c r="AO279" s="110"/>
      <c r="AP279" s="110"/>
      <c r="AQ279" s="110"/>
      <c r="AR279" s="111">
        <v>3000000</v>
      </c>
      <c r="AS279" s="111"/>
      <c r="AT279" s="111"/>
      <c r="AU279" s="153"/>
    </row>
    <row r="280" spans="1:47" ht="24" customHeight="1">
      <c r="A280" s="133">
        <v>310</v>
      </c>
      <c r="B280" s="134"/>
      <c r="C280" s="135" t="s">
        <v>55</v>
      </c>
      <c r="D280" s="135"/>
      <c r="E280" s="135"/>
      <c r="F280" s="135"/>
      <c r="G280" s="135"/>
      <c r="H280" s="135"/>
      <c r="I280" s="135"/>
      <c r="J280" s="136"/>
      <c r="K280" s="100">
        <f t="shared" si="14"/>
        <v>131384138</v>
      </c>
      <c r="L280" s="100"/>
      <c r="M280" s="100"/>
      <c r="N280" s="100"/>
      <c r="O280" s="100"/>
      <c r="P280" s="110">
        <v>69426789</v>
      </c>
      <c r="Q280" s="110"/>
      <c r="R280" s="110"/>
      <c r="S280" s="110"/>
      <c r="T280" s="110">
        <f>38809710+18194000+276000+90300</f>
        <v>57370010</v>
      </c>
      <c r="U280" s="110"/>
      <c r="V280" s="110"/>
      <c r="W280" s="110"/>
      <c r="X280" s="110">
        <v>47804266</v>
      </c>
      <c r="Y280" s="110"/>
      <c r="Z280" s="110"/>
      <c r="AA280" s="110"/>
      <c r="AB280" s="110">
        <f>9139738+30600+10690000+650000</f>
        <v>20510338</v>
      </c>
      <c r="AC280" s="110"/>
      <c r="AD280" s="110"/>
      <c r="AE280" s="110"/>
      <c r="AF280" s="110">
        <v>8807121</v>
      </c>
      <c r="AG280" s="110"/>
      <c r="AH280" s="110"/>
      <c r="AI280" s="110"/>
      <c r="AJ280" s="110">
        <f>7779290+563500</f>
        <v>8342790</v>
      </c>
      <c r="AK280" s="110"/>
      <c r="AL280" s="110"/>
      <c r="AM280" s="110"/>
      <c r="AN280" s="110">
        <v>5345962</v>
      </c>
      <c r="AO280" s="110"/>
      <c r="AP280" s="110"/>
      <c r="AQ280" s="110"/>
      <c r="AR280" s="110">
        <f>1984962+3000000</f>
        <v>4984962</v>
      </c>
      <c r="AS280" s="110"/>
      <c r="AT280" s="110"/>
      <c r="AU280" s="132"/>
    </row>
    <row r="281" spans="1:47" s="60" customFormat="1" ht="18" customHeight="1">
      <c r="A281" s="145" t="s">
        <v>161</v>
      </c>
      <c r="B281" s="146"/>
      <c r="C281" s="146"/>
      <c r="D281" s="146"/>
      <c r="E281" s="146"/>
      <c r="F281" s="146"/>
      <c r="G281" s="146"/>
      <c r="H281" s="146"/>
      <c r="I281" s="146"/>
      <c r="J281" s="147"/>
      <c r="K281" s="100">
        <f t="shared" si="14"/>
        <v>61235510</v>
      </c>
      <c r="L281" s="100"/>
      <c r="M281" s="100"/>
      <c r="N281" s="100"/>
      <c r="O281" s="100"/>
      <c r="P281" s="110">
        <v>30138579</v>
      </c>
      <c r="Q281" s="110"/>
      <c r="R281" s="110"/>
      <c r="S281" s="110"/>
      <c r="T281" s="111">
        <v>18194000</v>
      </c>
      <c r="U281" s="111"/>
      <c r="V281" s="111"/>
      <c r="W281" s="111"/>
      <c r="X281" s="110">
        <v>26908100</v>
      </c>
      <c r="Y281" s="110"/>
      <c r="Z281" s="110"/>
      <c r="AA281" s="110"/>
      <c r="AB281" s="111">
        <v>10690000</v>
      </c>
      <c r="AC281" s="111"/>
      <c r="AD281" s="111"/>
      <c r="AE281" s="111"/>
      <c r="AF281" s="110">
        <v>1027831</v>
      </c>
      <c r="AG281" s="110"/>
      <c r="AH281" s="110"/>
      <c r="AI281" s="110"/>
      <c r="AJ281" s="111">
        <v>563500</v>
      </c>
      <c r="AK281" s="111"/>
      <c r="AL281" s="111"/>
      <c r="AM281" s="111"/>
      <c r="AN281" s="110">
        <v>3161000</v>
      </c>
      <c r="AO281" s="110"/>
      <c r="AP281" s="110"/>
      <c r="AQ281" s="110"/>
      <c r="AR281" s="111">
        <v>3000000</v>
      </c>
      <c r="AS281" s="111"/>
      <c r="AT281" s="111"/>
      <c r="AU281" s="153"/>
    </row>
    <row r="282" spans="1:47" ht="31.5" customHeight="1">
      <c r="A282" s="133">
        <v>320</v>
      </c>
      <c r="B282" s="134"/>
      <c r="C282" s="136" t="s">
        <v>62</v>
      </c>
      <c r="D282" s="159"/>
      <c r="E282" s="159"/>
      <c r="F282" s="159"/>
      <c r="G282" s="159"/>
      <c r="H282" s="159"/>
      <c r="I282" s="159"/>
      <c r="J282" s="159"/>
      <c r="K282" s="100">
        <f t="shared" si="14"/>
        <v>53755000</v>
      </c>
      <c r="L282" s="100"/>
      <c r="M282" s="100"/>
      <c r="N282" s="100"/>
      <c r="O282" s="100"/>
      <c r="P282" s="110">
        <v>55000</v>
      </c>
      <c r="Q282" s="110"/>
      <c r="R282" s="110"/>
      <c r="S282" s="110"/>
      <c r="T282" s="110"/>
      <c r="U282" s="110"/>
      <c r="V282" s="110"/>
      <c r="W282" s="110"/>
      <c r="X282" s="110">
        <v>53700000</v>
      </c>
      <c r="Y282" s="110"/>
      <c r="Z282" s="110"/>
      <c r="AA282" s="110"/>
      <c r="AB282" s="110"/>
      <c r="AC282" s="110"/>
      <c r="AD282" s="110"/>
      <c r="AE282" s="110"/>
      <c r="AF282" s="110">
        <v>0</v>
      </c>
      <c r="AG282" s="110"/>
      <c r="AH282" s="110"/>
      <c r="AI282" s="110"/>
      <c r="AJ282" s="110"/>
      <c r="AK282" s="110"/>
      <c r="AL282" s="110"/>
      <c r="AM282" s="110"/>
      <c r="AN282" s="110">
        <v>0</v>
      </c>
      <c r="AO282" s="110"/>
      <c r="AP282" s="110"/>
      <c r="AQ282" s="110"/>
      <c r="AR282" s="110"/>
      <c r="AS282" s="110"/>
      <c r="AT282" s="110"/>
      <c r="AU282" s="132"/>
    </row>
    <row r="283" spans="1:47" s="60" customFormat="1" ht="18" customHeight="1">
      <c r="A283" s="145" t="s">
        <v>161</v>
      </c>
      <c r="B283" s="146"/>
      <c r="C283" s="146"/>
      <c r="D283" s="146"/>
      <c r="E283" s="146"/>
      <c r="F283" s="146"/>
      <c r="G283" s="146"/>
      <c r="H283" s="146"/>
      <c r="I283" s="146"/>
      <c r="J283" s="147"/>
      <c r="K283" s="100">
        <f t="shared" si="14"/>
        <v>53755000</v>
      </c>
      <c r="L283" s="100"/>
      <c r="M283" s="100"/>
      <c r="N283" s="100"/>
      <c r="O283" s="100"/>
      <c r="P283" s="110">
        <v>55000</v>
      </c>
      <c r="Q283" s="110"/>
      <c r="R283" s="110"/>
      <c r="S283" s="110"/>
      <c r="T283" s="111">
        <v>0</v>
      </c>
      <c r="U283" s="111"/>
      <c r="V283" s="111"/>
      <c r="W283" s="111"/>
      <c r="X283" s="110">
        <v>53700000</v>
      </c>
      <c r="Y283" s="110"/>
      <c r="Z283" s="110"/>
      <c r="AA283" s="110"/>
      <c r="AB283" s="111">
        <v>0</v>
      </c>
      <c r="AC283" s="111"/>
      <c r="AD283" s="111"/>
      <c r="AE283" s="111"/>
      <c r="AF283" s="110">
        <v>0</v>
      </c>
      <c r="AG283" s="110"/>
      <c r="AH283" s="110"/>
      <c r="AI283" s="110"/>
      <c r="AJ283" s="111">
        <v>0</v>
      </c>
      <c r="AK283" s="111"/>
      <c r="AL283" s="111"/>
      <c r="AM283" s="111"/>
      <c r="AN283" s="110">
        <v>0</v>
      </c>
      <c r="AO283" s="110"/>
      <c r="AP283" s="110"/>
      <c r="AQ283" s="110"/>
      <c r="AR283" s="111"/>
      <c r="AS283" s="111"/>
      <c r="AT283" s="111"/>
      <c r="AU283" s="153"/>
    </row>
    <row r="284" spans="1:47" ht="24" customHeight="1">
      <c r="A284" s="133">
        <v>340</v>
      </c>
      <c r="B284" s="134"/>
      <c r="C284" s="135" t="s">
        <v>56</v>
      </c>
      <c r="D284" s="135"/>
      <c r="E284" s="135"/>
      <c r="F284" s="135"/>
      <c r="G284" s="135"/>
      <c r="H284" s="135"/>
      <c r="I284" s="135"/>
      <c r="J284" s="136"/>
      <c r="K284" s="100">
        <f t="shared" si="14"/>
        <v>119713240</v>
      </c>
      <c r="L284" s="100"/>
      <c r="M284" s="100"/>
      <c r="N284" s="100"/>
      <c r="O284" s="100"/>
      <c r="P284" s="110">
        <v>27072532</v>
      </c>
      <c r="Q284" s="110"/>
      <c r="R284" s="110"/>
      <c r="S284" s="110"/>
      <c r="T284" s="110">
        <f>8558000+3700000+72470</f>
        <v>12330470</v>
      </c>
      <c r="U284" s="110"/>
      <c r="V284" s="110"/>
      <c r="W284" s="110"/>
      <c r="X284" s="110">
        <v>84529603</v>
      </c>
      <c r="Y284" s="110"/>
      <c r="Z284" s="110"/>
      <c r="AA284" s="110"/>
      <c r="AB284" s="110">
        <f>1411200+22935000+2300000+19100</f>
        <v>26665300</v>
      </c>
      <c r="AC284" s="110"/>
      <c r="AD284" s="110"/>
      <c r="AE284" s="110"/>
      <c r="AF284" s="110">
        <v>2538920</v>
      </c>
      <c r="AG284" s="110"/>
      <c r="AH284" s="110"/>
      <c r="AI284" s="110"/>
      <c r="AJ284" s="110">
        <f>2000000+24520</f>
        <v>2024520</v>
      </c>
      <c r="AK284" s="110"/>
      <c r="AL284" s="110"/>
      <c r="AM284" s="110"/>
      <c r="AN284" s="110">
        <v>5572185</v>
      </c>
      <c r="AO284" s="110"/>
      <c r="AP284" s="110"/>
      <c r="AQ284" s="110"/>
      <c r="AR284" s="110">
        <f>5000000+313185</f>
        <v>5313185</v>
      </c>
      <c r="AS284" s="110"/>
      <c r="AT284" s="110"/>
      <c r="AU284" s="132"/>
    </row>
    <row r="285" spans="1:47" s="60" customFormat="1" ht="18" customHeight="1">
      <c r="A285" s="145" t="s">
        <v>161</v>
      </c>
      <c r="B285" s="146"/>
      <c r="C285" s="146"/>
      <c r="D285" s="146"/>
      <c r="E285" s="146"/>
      <c r="F285" s="146"/>
      <c r="G285" s="146"/>
      <c r="H285" s="146"/>
      <c r="I285" s="146"/>
      <c r="J285" s="147"/>
      <c r="K285" s="100">
        <f t="shared" si="14"/>
        <v>107504355</v>
      </c>
      <c r="L285" s="100"/>
      <c r="M285" s="100"/>
      <c r="N285" s="100"/>
      <c r="O285" s="100"/>
      <c r="P285" s="110">
        <v>23016252</v>
      </c>
      <c r="Q285" s="110"/>
      <c r="R285" s="110"/>
      <c r="S285" s="110"/>
      <c r="T285" s="111">
        <v>8558000</v>
      </c>
      <c r="U285" s="111"/>
      <c r="V285" s="111"/>
      <c r="W285" s="111"/>
      <c r="X285" s="110">
        <v>76714703</v>
      </c>
      <c r="Y285" s="110"/>
      <c r="Z285" s="110"/>
      <c r="AA285" s="110"/>
      <c r="AB285" s="111">
        <v>22935000</v>
      </c>
      <c r="AC285" s="111"/>
      <c r="AD285" s="111"/>
      <c r="AE285" s="111"/>
      <c r="AF285" s="110">
        <v>2514400</v>
      </c>
      <c r="AG285" s="110"/>
      <c r="AH285" s="110"/>
      <c r="AI285" s="110"/>
      <c r="AJ285" s="111">
        <v>2000000</v>
      </c>
      <c r="AK285" s="111"/>
      <c r="AL285" s="111"/>
      <c r="AM285" s="111"/>
      <c r="AN285" s="110">
        <v>5259000</v>
      </c>
      <c r="AO285" s="110"/>
      <c r="AP285" s="110"/>
      <c r="AQ285" s="110"/>
      <c r="AR285" s="111">
        <v>5000000</v>
      </c>
      <c r="AS285" s="111"/>
      <c r="AT285" s="111"/>
      <c r="AU285" s="153"/>
    </row>
    <row r="286" spans="1:47" ht="15.75">
      <c r="A286" s="148">
        <v>900</v>
      </c>
      <c r="B286" s="149"/>
      <c r="C286" s="150" t="s">
        <v>57</v>
      </c>
      <c r="D286" s="150"/>
      <c r="E286" s="150"/>
      <c r="F286" s="150"/>
      <c r="G286" s="150"/>
      <c r="H286" s="150"/>
      <c r="I286" s="150"/>
      <c r="J286" s="151"/>
      <c r="K286" s="100">
        <f t="shared" si="14"/>
        <v>395654459</v>
      </c>
      <c r="L286" s="100"/>
      <c r="M286" s="100"/>
      <c r="N286" s="100"/>
      <c r="O286" s="100"/>
      <c r="P286" s="140">
        <f>P278+P280+P282+P284</f>
        <v>142837572</v>
      </c>
      <c r="Q286" s="140"/>
      <c r="R286" s="140"/>
      <c r="S286" s="140"/>
      <c r="T286" s="140">
        <f>T278+T280+T282+T284</f>
        <v>103189560</v>
      </c>
      <c r="U286" s="140"/>
      <c r="V286" s="140"/>
      <c r="W286" s="140"/>
      <c r="X286" s="140">
        <f>X278+X280+X282+X284</f>
        <v>223014656</v>
      </c>
      <c r="Y286" s="140"/>
      <c r="Z286" s="140"/>
      <c r="AA286" s="140"/>
      <c r="AB286" s="140">
        <f>AB278+AB280+AB282+AB284</f>
        <v>68523925</v>
      </c>
      <c r="AC286" s="140"/>
      <c r="AD286" s="140"/>
      <c r="AE286" s="140"/>
      <c r="AF286" s="140">
        <f>AF278+AF280+AF282+AF284</f>
        <v>15619374</v>
      </c>
      <c r="AG286" s="140"/>
      <c r="AH286" s="140"/>
      <c r="AI286" s="140"/>
      <c r="AJ286" s="140">
        <f>AJ278+AJ280+AJ282+AJ284</f>
        <v>14525643</v>
      </c>
      <c r="AK286" s="140"/>
      <c r="AL286" s="140"/>
      <c r="AM286" s="140"/>
      <c r="AN286" s="140">
        <f>AN278+AN280+AN282+AN284</f>
        <v>14182857</v>
      </c>
      <c r="AO286" s="140"/>
      <c r="AP286" s="140"/>
      <c r="AQ286" s="140"/>
      <c r="AR286" s="140">
        <f>AR278+AR280+AR282+AR284</f>
        <v>13432857</v>
      </c>
      <c r="AS286" s="140"/>
      <c r="AT286" s="140"/>
      <c r="AU286" s="141"/>
    </row>
    <row r="287" spans="1:47" s="60" customFormat="1" ht="18" customHeight="1" thickBot="1">
      <c r="A287" s="145" t="s">
        <v>161</v>
      </c>
      <c r="B287" s="146"/>
      <c r="C287" s="146"/>
      <c r="D287" s="146"/>
      <c r="E287" s="146"/>
      <c r="F287" s="146"/>
      <c r="G287" s="146"/>
      <c r="H287" s="146"/>
      <c r="I287" s="146"/>
      <c r="J287" s="147"/>
      <c r="K287" s="152">
        <f t="shared" si="14"/>
        <v>270665346</v>
      </c>
      <c r="L287" s="152"/>
      <c r="M287" s="152"/>
      <c r="N287" s="152"/>
      <c r="O287" s="152"/>
      <c r="P287" s="110">
        <f>P279+P281+P283+P285</f>
        <v>70988812</v>
      </c>
      <c r="Q287" s="110"/>
      <c r="R287" s="110"/>
      <c r="S287" s="110"/>
      <c r="T287" s="111">
        <f>T279+T281+T283+T285</f>
        <v>31857000</v>
      </c>
      <c r="U287" s="111"/>
      <c r="V287" s="111"/>
      <c r="W287" s="111"/>
      <c r="X287" s="110">
        <f>X279+X281+X283+X285</f>
        <v>183569303</v>
      </c>
      <c r="Y287" s="110"/>
      <c r="Z287" s="110"/>
      <c r="AA287" s="110"/>
      <c r="AB287" s="111">
        <f>AB279+AB281+AB283+AB285</f>
        <v>44240000</v>
      </c>
      <c r="AC287" s="111"/>
      <c r="AD287" s="111"/>
      <c r="AE287" s="111"/>
      <c r="AF287" s="110">
        <f>AF279+AF281+AF283+AF285</f>
        <v>4557231</v>
      </c>
      <c r="AG287" s="110"/>
      <c r="AH287" s="110"/>
      <c r="AI287" s="110"/>
      <c r="AJ287" s="111">
        <f>AJ279+AJ281+AJ283+AJ285</f>
        <v>3463500</v>
      </c>
      <c r="AK287" s="111"/>
      <c r="AL287" s="111"/>
      <c r="AM287" s="111"/>
      <c r="AN287" s="110">
        <f>AN279+AN281+AN283+AN285</f>
        <v>11550000</v>
      </c>
      <c r="AO287" s="110"/>
      <c r="AP287" s="110"/>
      <c r="AQ287" s="110"/>
      <c r="AR287" s="111">
        <f>AR279+AR281+AR283+AR285</f>
        <v>11000000</v>
      </c>
      <c r="AS287" s="111"/>
      <c r="AT287" s="111"/>
      <c r="AU287" s="153"/>
    </row>
    <row r="288" spans="1:47" s="37" customFormat="1" ht="26.25" customHeight="1" thickBot="1">
      <c r="A288" s="142" t="s">
        <v>71</v>
      </c>
      <c r="B288" s="143"/>
      <c r="C288" s="143"/>
      <c r="D288" s="143"/>
      <c r="E288" s="143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4">
        <f>P286/Q235</f>
        <v>0.09456484348218588</v>
      </c>
      <c r="Q288" s="144"/>
      <c r="R288" s="144"/>
      <c r="S288" s="144"/>
      <c r="T288" s="138">
        <f>T286/Q235</f>
        <v>0.06831609116399451</v>
      </c>
      <c r="U288" s="138"/>
      <c r="V288" s="138"/>
      <c r="W288" s="138"/>
      <c r="X288" s="144">
        <f>X286/V235</f>
        <v>0.1903453806234261</v>
      </c>
      <c r="Y288" s="144"/>
      <c r="Z288" s="144"/>
      <c r="AA288" s="144"/>
      <c r="AB288" s="138">
        <f>AB286/V235</f>
        <v>0.05848589872916739</v>
      </c>
      <c r="AC288" s="138"/>
      <c r="AD288" s="138"/>
      <c r="AE288" s="138"/>
      <c r="AF288" s="144">
        <f>AF286/AA235</f>
        <v>0.04140767002212756</v>
      </c>
      <c r="AG288" s="144"/>
      <c r="AH288" s="144"/>
      <c r="AI288" s="144"/>
      <c r="AJ288" s="138">
        <f>AJ286/AA235</f>
        <v>0.03850813945573152</v>
      </c>
      <c r="AK288" s="138"/>
      <c r="AL288" s="138"/>
      <c r="AM288" s="138"/>
      <c r="AN288" s="144">
        <f>AN286/AF235</f>
        <v>0.10138515767659761</v>
      </c>
      <c r="AO288" s="144"/>
      <c r="AP288" s="144"/>
      <c r="AQ288" s="144"/>
      <c r="AR288" s="138">
        <f>AR286/AF235</f>
        <v>0.09602383532402449</v>
      </c>
      <c r="AS288" s="138"/>
      <c r="AT288" s="138"/>
      <c r="AU288" s="139"/>
    </row>
    <row r="290" spans="1:50" ht="34.5" customHeight="1">
      <c r="A290" s="91" t="s">
        <v>165</v>
      </c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</row>
    <row r="291" ht="7.5" customHeight="1" thickBot="1"/>
    <row r="292" spans="1:47" ht="12.75" customHeight="1">
      <c r="A292" s="154" t="s">
        <v>61</v>
      </c>
      <c r="B292" s="155"/>
      <c r="C292" s="155"/>
      <c r="D292" s="155"/>
      <c r="E292" s="155"/>
      <c r="F292" s="155"/>
      <c r="G292" s="155"/>
      <c r="H292" s="155"/>
      <c r="I292" s="155"/>
      <c r="J292" s="155"/>
      <c r="K292" s="155" t="s">
        <v>182</v>
      </c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  <c r="AN292" s="155"/>
      <c r="AO292" s="155"/>
      <c r="AP292" s="155"/>
      <c r="AQ292" s="155"/>
      <c r="AR292" s="155"/>
      <c r="AS292" s="155"/>
      <c r="AT292" s="155"/>
      <c r="AU292" s="157"/>
    </row>
    <row r="293" spans="1:47" s="36" customFormat="1" ht="52.5" customHeight="1">
      <c r="A293" s="156"/>
      <c r="B293" s="123"/>
      <c r="C293" s="123"/>
      <c r="D293" s="123"/>
      <c r="E293" s="123"/>
      <c r="F293" s="123"/>
      <c r="G293" s="123"/>
      <c r="H293" s="123"/>
      <c r="I293" s="123"/>
      <c r="J293" s="123"/>
      <c r="K293" s="121" t="s">
        <v>32</v>
      </c>
      <c r="L293" s="121"/>
      <c r="M293" s="121"/>
      <c r="N293" s="121"/>
      <c r="O293" s="121"/>
      <c r="P293" s="121" t="s">
        <v>63</v>
      </c>
      <c r="Q293" s="121"/>
      <c r="R293" s="121"/>
      <c r="S293" s="121"/>
      <c r="T293" s="121" t="s">
        <v>67</v>
      </c>
      <c r="U293" s="121"/>
      <c r="V293" s="121"/>
      <c r="W293" s="121"/>
      <c r="X293" s="121" t="s">
        <v>166</v>
      </c>
      <c r="Y293" s="121"/>
      <c r="Z293" s="121"/>
      <c r="AA293" s="121"/>
      <c r="AB293" s="121" t="s">
        <v>167</v>
      </c>
      <c r="AC293" s="121"/>
      <c r="AD293" s="121"/>
      <c r="AE293" s="121"/>
      <c r="AF293" s="121" t="s">
        <v>64</v>
      </c>
      <c r="AG293" s="121"/>
      <c r="AH293" s="121"/>
      <c r="AI293" s="121"/>
      <c r="AJ293" s="121" t="s">
        <v>68</v>
      </c>
      <c r="AK293" s="121"/>
      <c r="AL293" s="121"/>
      <c r="AM293" s="121"/>
      <c r="AN293" s="121" t="s">
        <v>65</v>
      </c>
      <c r="AO293" s="121"/>
      <c r="AP293" s="121"/>
      <c r="AQ293" s="121"/>
      <c r="AR293" s="121" t="s">
        <v>69</v>
      </c>
      <c r="AS293" s="121"/>
      <c r="AT293" s="121"/>
      <c r="AU293" s="158"/>
    </row>
    <row r="294" spans="1:47" ht="18" customHeight="1">
      <c r="A294" s="133">
        <v>212</v>
      </c>
      <c r="B294" s="134"/>
      <c r="C294" s="135" t="s">
        <v>46</v>
      </c>
      <c r="D294" s="135"/>
      <c r="E294" s="135"/>
      <c r="F294" s="135"/>
      <c r="G294" s="135"/>
      <c r="H294" s="135"/>
      <c r="I294" s="135"/>
      <c r="J294" s="136"/>
      <c r="K294" s="100">
        <f>P294+X294+AF294+AN294</f>
        <v>21849295</v>
      </c>
      <c r="L294" s="100"/>
      <c r="M294" s="100"/>
      <c r="N294" s="100"/>
      <c r="O294" s="100"/>
      <c r="P294" s="110">
        <v>6620341</v>
      </c>
      <c r="Q294" s="110"/>
      <c r="R294" s="110"/>
      <c r="S294" s="110"/>
      <c r="T294" s="110">
        <f>2025846+2853000+56000</f>
        <v>4934846</v>
      </c>
      <c r="U294" s="110"/>
      <c r="V294" s="110"/>
      <c r="W294" s="110"/>
      <c r="X294" s="110">
        <v>12230754</v>
      </c>
      <c r="Y294" s="110"/>
      <c r="Z294" s="110"/>
      <c r="AA294" s="110"/>
      <c r="AB294" s="110">
        <f>968504+16000+5770000</f>
        <v>6754504</v>
      </c>
      <c r="AC294" s="110"/>
      <c r="AD294" s="110"/>
      <c r="AE294" s="110"/>
      <c r="AF294" s="110">
        <v>1552926</v>
      </c>
      <c r="AG294" s="110"/>
      <c r="AH294" s="110"/>
      <c r="AI294" s="110"/>
      <c r="AJ294" s="110">
        <f>1077326+170000+4600</f>
        <v>1251926</v>
      </c>
      <c r="AK294" s="110"/>
      <c r="AL294" s="110"/>
      <c r="AM294" s="110"/>
      <c r="AN294" s="110">
        <v>1445274</v>
      </c>
      <c r="AO294" s="110"/>
      <c r="AP294" s="110"/>
      <c r="AQ294" s="110"/>
      <c r="AR294" s="110">
        <f>418474+900000</f>
        <v>1318474</v>
      </c>
      <c r="AS294" s="110"/>
      <c r="AT294" s="110"/>
      <c r="AU294" s="132"/>
    </row>
    <row r="295" spans="1:47" s="60" customFormat="1" ht="18" customHeight="1">
      <c r="A295" s="145" t="s">
        <v>161</v>
      </c>
      <c r="B295" s="146"/>
      <c r="C295" s="146"/>
      <c r="D295" s="146"/>
      <c r="E295" s="146"/>
      <c r="F295" s="146"/>
      <c r="G295" s="146"/>
      <c r="H295" s="146"/>
      <c r="I295" s="146"/>
      <c r="J295" s="147"/>
      <c r="K295" s="100">
        <f>P295+X295+AF295+AN295</f>
        <v>16877195</v>
      </c>
      <c r="L295" s="100"/>
      <c r="M295" s="100"/>
      <c r="N295" s="100"/>
      <c r="O295" s="100"/>
      <c r="P295" s="110">
        <v>4213495</v>
      </c>
      <c r="Q295" s="110"/>
      <c r="R295" s="110"/>
      <c r="S295" s="110"/>
      <c r="T295" s="111">
        <v>2853000</v>
      </c>
      <c r="U295" s="111"/>
      <c r="V295" s="111"/>
      <c r="W295" s="111"/>
      <c r="X295" s="110">
        <v>11203700</v>
      </c>
      <c r="Y295" s="110"/>
      <c r="Z295" s="110"/>
      <c r="AA295" s="110"/>
      <c r="AB295" s="111">
        <v>5770000</v>
      </c>
      <c r="AC295" s="111"/>
      <c r="AD295" s="111"/>
      <c r="AE295" s="111"/>
      <c r="AF295" s="110">
        <v>471000</v>
      </c>
      <c r="AG295" s="110"/>
      <c r="AH295" s="110"/>
      <c r="AI295" s="110"/>
      <c r="AJ295" s="111">
        <v>170000</v>
      </c>
      <c r="AK295" s="111"/>
      <c r="AL295" s="111"/>
      <c r="AM295" s="111"/>
      <c r="AN295" s="110">
        <v>989000</v>
      </c>
      <c r="AO295" s="110"/>
      <c r="AP295" s="110"/>
      <c r="AQ295" s="110"/>
      <c r="AR295" s="111">
        <v>900000</v>
      </c>
      <c r="AS295" s="111"/>
      <c r="AT295" s="111"/>
      <c r="AU295" s="153"/>
    </row>
    <row r="296" spans="1:47" ht="14.25" customHeight="1">
      <c r="A296" s="133">
        <v>221</v>
      </c>
      <c r="B296" s="134"/>
      <c r="C296" s="135" t="s">
        <v>48</v>
      </c>
      <c r="D296" s="135"/>
      <c r="E296" s="135"/>
      <c r="F296" s="135"/>
      <c r="G296" s="135"/>
      <c r="H296" s="135"/>
      <c r="I296" s="135"/>
      <c r="J296" s="136"/>
      <c r="K296" s="100">
        <f aca="true" t="shared" si="15" ref="K296:K302">P296+X296+AF296+AN296</f>
        <v>35324274</v>
      </c>
      <c r="L296" s="100"/>
      <c r="M296" s="100"/>
      <c r="N296" s="100"/>
      <c r="O296" s="100"/>
      <c r="P296" s="110">
        <v>16665876</v>
      </c>
      <c r="Q296" s="110"/>
      <c r="R296" s="110"/>
      <c r="S296" s="110"/>
      <c r="T296" s="110">
        <f>6000000+1200000+3483182+18800</f>
        <v>10701982</v>
      </c>
      <c r="U296" s="110"/>
      <c r="V296" s="110"/>
      <c r="W296" s="110"/>
      <c r="X296" s="110">
        <v>15012950</v>
      </c>
      <c r="Y296" s="110"/>
      <c r="Z296" s="110"/>
      <c r="AA296" s="110"/>
      <c r="AB296" s="110">
        <f>56000+80000+8669000+6300</f>
        <v>8811300</v>
      </c>
      <c r="AC296" s="110"/>
      <c r="AD296" s="110"/>
      <c r="AE296" s="110"/>
      <c r="AF296" s="110">
        <v>2745448</v>
      </c>
      <c r="AG296" s="110"/>
      <c r="AH296" s="110"/>
      <c r="AI296" s="110"/>
      <c r="AJ296" s="110">
        <f>250000+11770</f>
        <v>261770</v>
      </c>
      <c r="AK296" s="110"/>
      <c r="AL296" s="110"/>
      <c r="AM296" s="110"/>
      <c r="AN296" s="110">
        <v>900000</v>
      </c>
      <c r="AO296" s="110"/>
      <c r="AP296" s="110"/>
      <c r="AQ296" s="110"/>
      <c r="AR296" s="110">
        <f>700000</f>
        <v>700000</v>
      </c>
      <c r="AS296" s="110"/>
      <c r="AT296" s="110"/>
      <c r="AU296" s="132"/>
    </row>
    <row r="297" spans="1:47" s="60" customFormat="1" ht="18" customHeight="1">
      <c r="A297" s="145" t="s">
        <v>161</v>
      </c>
      <c r="B297" s="146"/>
      <c r="C297" s="146"/>
      <c r="D297" s="146"/>
      <c r="E297" s="146"/>
      <c r="F297" s="146"/>
      <c r="G297" s="146"/>
      <c r="H297" s="146"/>
      <c r="I297" s="146"/>
      <c r="J297" s="147"/>
      <c r="K297" s="100">
        <f>P297+X297+AF297+AN297</f>
        <v>28888274</v>
      </c>
      <c r="L297" s="100"/>
      <c r="M297" s="100"/>
      <c r="N297" s="100"/>
      <c r="O297" s="100"/>
      <c r="P297" s="110">
        <v>9385396</v>
      </c>
      <c r="Q297" s="110"/>
      <c r="R297" s="110"/>
      <c r="S297" s="110"/>
      <c r="T297" s="111">
        <v>3483182</v>
      </c>
      <c r="U297" s="111"/>
      <c r="V297" s="111"/>
      <c r="W297" s="111"/>
      <c r="X297" s="110">
        <v>14869200</v>
      </c>
      <c r="Y297" s="110"/>
      <c r="Z297" s="110"/>
      <c r="AA297" s="110"/>
      <c r="AB297" s="111">
        <v>8669000</v>
      </c>
      <c r="AC297" s="111"/>
      <c r="AD297" s="111"/>
      <c r="AE297" s="111"/>
      <c r="AF297" s="110">
        <v>3733678</v>
      </c>
      <c r="AG297" s="110"/>
      <c r="AH297" s="110"/>
      <c r="AI297" s="110"/>
      <c r="AJ297" s="111">
        <v>2500000</v>
      </c>
      <c r="AK297" s="111"/>
      <c r="AL297" s="111"/>
      <c r="AM297" s="111"/>
      <c r="AN297" s="110">
        <v>900000</v>
      </c>
      <c r="AO297" s="110"/>
      <c r="AP297" s="110"/>
      <c r="AQ297" s="110"/>
      <c r="AR297" s="111">
        <v>700000</v>
      </c>
      <c r="AS297" s="111"/>
      <c r="AT297" s="111"/>
      <c r="AU297" s="153"/>
    </row>
    <row r="298" spans="1:47" ht="17.25" customHeight="1">
      <c r="A298" s="133">
        <v>222</v>
      </c>
      <c r="B298" s="134"/>
      <c r="C298" s="135" t="s">
        <v>49</v>
      </c>
      <c r="D298" s="135"/>
      <c r="E298" s="135"/>
      <c r="F298" s="135"/>
      <c r="G298" s="135"/>
      <c r="H298" s="135"/>
      <c r="I298" s="135"/>
      <c r="J298" s="136"/>
      <c r="K298" s="100">
        <f t="shared" si="15"/>
        <v>33274883</v>
      </c>
      <c r="L298" s="100"/>
      <c r="M298" s="100"/>
      <c r="N298" s="100"/>
      <c r="O298" s="100"/>
      <c r="P298" s="110">
        <v>11848833</v>
      </c>
      <c r="Q298" s="110"/>
      <c r="R298" s="110"/>
      <c r="S298" s="110"/>
      <c r="T298" s="110">
        <f>96700+200000+7220000+19300</f>
        <v>7536000</v>
      </c>
      <c r="U298" s="110"/>
      <c r="V298" s="110"/>
      <c r="W298" s="110"/>
      <c r="X298" s="110">
        <v>17262800</v>
      </c>
      <c r="Y298" s="110"/>
      <c r="Z298" s="110"/>
      <c r="AA298" s="110"/>
      <c r="AB298" s="110">
        <f>20000+10200000+4800</f>
        <v>10224800</v>
      </c>
      <c r="AC298" s="110"/>
      <c r="AD298" s="110"/>
      <c r="AE298" s="110"/>
      <c r="AF298" s="110">
        <v>1613250</v>
      </c>
      <c r="AG298" s="110"/>
      <c r="AH298" s="110"/>
      <c r="AI298" s="110"/>
      <c r="AJ298" s="110">
        <f>48500+1176500+17650</f>
        <v>1242650</v>
      </c>
      <c r="AK298" s="110"/>
      <c r="AL298" s="110"/>
      <c r="AM298" s="110"/>
      <c r="AN298" s="110">
        <v>2550000</v>
      </c>
      <c r="AO298" s="110"/>
      <c r="AP298" s="110"/>
      <c r="AQ298" s="110"/>
      <c r="AR298" s="110">
        <f>2500000</f>
        <v>2500000</v>
      </c>
      <c r="AS298" s="110"/>
      <c r="AT298" s="110"/>
      <c r="AU298" s="132"/>
    </row>
    <row r="299" spans="1:47" s="60" customFormat="1" ht="18" customHeight="1">
      <c r="A299" s="145" t="s">
        <v>161</v>
      </c>
      <c r="B299" s="146"/>
      <c r="C299" s="146"/>
      <c r="D299" s="146"/>
      <c r="E299" s="146"/>
      <c r="F299" s="146"/>
      <c r="G299" s="146"/>
      <c r="H299" s="146"/>
      <c r="I299" s="146"/>
      <c r="J299" s="147"/>
      <c r="K299" s="100">
        <f>P299+X299+AF299+AN299</f>
        <v>32758683</v>
      </c>
      <c r="L299" s="100"/>
      <c r="M299" s="100"/>
      <c r="N299" s="100"/>
      <c r="O299" s="100"/>
      <c r="P299" s="110">
        <v>11424583</v>
      </c>
      <c r="Q299" s="110"/>
      <c r="R299" s="110"/>
      <c r="S299" s="110"/>
      <c r="T299" s="111">
        <v>7220000</v>
      </c>
      <c r="U299" s="111"/>
      <c r="V299" s="111"/>
      <c r="W299" s="111"/>
      <c r="X299" s="110">
        <v>17237000</v>
      </c>
      <c r="Y299" s="110"/>
      <c r="Z299" s="110"/>
      <c r="AA299" s="110"/>
      <c r="AB299" s="111">
        <v>10200000</v>
      </c>
      <c r="AC299" s="111"/>
      <c r="AD299" s="111"/>
      <c r="AE299" s="111"/>
      <c r="AF299" s="110">
        <v>1547100</v>
      </c>
      <c r="AG299" s="110"/>
      <c r="AH299" s="110"/>
      <c r="AI299" s="110"/>
      <c r="AJ299" s="111">
        <v>1176500</v>
      </c>
      <c r="AK299" s="111"/>
      <c r="AL299" s="111"/>
      <c r="AM299" s="111"/>
      <c r="AN299" s="110">
        <v>2550000</v>
      </c>
      <c r="AO299" s="110"/>
      <c r="AP299" s="110"/>
      <c r="AQ299" s="110"/>
      <c r="AR299" s="111">
        <v>2500000</v>
      </c>
      <c r="AS299" s="111"/>
      <c r="AT299" s="111"/>
      <c r="AU299" s="153"/>
    </row>
    <row r="300" spans="1:58" ht="31.5" customHeight="1">
      <c r="A300" s="133">
        <v>224</v>
      </c>
      <c r="B300" s="134"/>
      <c r="C300" s="135" t="s">
        <v>51</v>
      </c>
      <c r="D300" s="135"/>
      <c r="E300" s="135"/>
      <c r="F300" s="135"/>
      <c r="G300" s="135"/>
      <c r="H300" s="135"/>
      <c r="I300" s="135"/>
      <c r="J300" s="136"/>
      <c r="K300" s="100">
        <f t="shared" si="15"/>
        <v>19671800</v>
      </c>
      <c r="L300" s="100"/>
      <c r="M300" s="100"/>
      <c r="N300" s="100"/>
      <c r="O300" s="100"/>
      <c r="P300" s="110">
        <v>10537230</v>
      </c>
      <c r="Q300" s="110"/>
      <c r="R300" s="110"/>
      <c r="S300" s="110"/>
      <c r="T300" s="110">
        <f>3103000</f>
        <v>3103000</v>
      </c>
      <c r="U300" s="110"/>
      <c r="V300" s="110"/>
      <c r="W300" s="110"/>
      <c r="X300" s="110">
        <v>5556300</v>
      </c>
      <c r="Y300" s="110"/>
      <c r="Z300" s="110"/>
      <c r="AA300" s="110"/>
      <c r="AB300" s="110">
        <f>1600000</f>
        <v>1600000</v>
      </c>
      <c r="AC300" s="110"/>
      <c r="AD300" s="110"/>
      <c r="AE300" s="110"/>
      <c r="AF300" s="110">
        <v>2778270</v>
      </c>
      <c r="AG300" s="110"/>
      <c r="AH300" s="110"/>
      <c r="AI300" s="110"/>
      <c r="AJ300" s="110">
        <f>1000000+11770</f>
        <v>1011770</v>
      </c>
      <c r="AK300" s="110"/>
      <c r="AL300" s="110"/>
      <c r="AM300" s="110"/>
      <c r="AN300" s="110">
        <v>800000</v>
      </c>
      <c r="AO300" s="110"/>
      <c r="AP300" s="110"/>
      <c r="AQ300" s="110"/>
      <c r="AR300" s="110">
        <f>800000</f>
        <v>800000</v>
      </c>
      <c r="AS300" s="110"/>
      <c r="AT300" s="110"/>
      <c r="AU300" s="132"/>
      <c r="AZ300" s="281"/>
      <c r="BA300" s="282"/>
      <c r="BB300" s="282"/>
      <c r="BC300" s="282"/>
      <c r="BD300" s="282"/>
      <c r="BE300" s="282"/>
      <c r="BF300" s="282"/>
    </row>
    <row r="301" spans="1:47" s="60" customFormat="1" ht="18" customHeight="1">
      <c r="A301" s="145" t="s">
        <v>161</v>
      </c>
      <c r="B301" s="146"/>
      <c r="C301" s="146"/>
      <c r="D301" s="146"/>
      <c r="E301" s="146"/>
      <c r="F301" s="146"/>
      <c r="G301" s="146"/>
      <c r="H301" s="146"/>
      <c r="I301" s="146"/>
      <c r="J301" s="147"/>
      <c r="K301" s="100">
        <f>P301+X301+AF301+AN301</f>
        <v>19621800</v>
      </c>
      <c r="L301" s="100"/>
      <c r="M301" s="100"/>
      <c r="N301" s="100"/>
      <c r="O301" s="100"/>
      <c r="P301" s="110">
        <v>10499000</v>
      </c>
      <c r="Q301" s="110"/>
      <c r="R301" s="110"/>
      <c r="S301" s="110"/>
      <c r="T301" s="111">
        <v>3103000</v>
      </c>
      <c r="U301" s="111"/>
      <c r="V301" s="111"/>
      <c r="W301" s="111"/>
      <c r="X301" s="110">
        <v>5556300</v>
      </c>
      <c r="Y301" s="110"/>
      <c r="Z301" s="110"/>
      <c r="AA301" s="110"/>
      <c r="AB301" s="111">
        <v>1600000</v>
      </c>
      <c r="AC301" s="111"/>
      <c r="AD301" s="111"/>
      <c r="AE301" s="111"/>
      <c r="AF301" s="110">
        <v>2766500</v>
      </c>
      <c r="AG301" s="110"/>
      <c r="AH301" s="110"/>
      <c r="AI301" s="110"/>
      <c r="AJ301" s="111">
        <v>1000000</v>
      </c>
      <c r="AK301" s="111"/>
      <c r="AL301" s="111"/>
      <c r="AM301" s="111"/>
      <c r="AN301" s="110">
        <v>800000</v>
      </c>
      <c r="AO301" s="110"/>
      <c r="AP301" s="110"/>
      <c r="AQ301" s="110"/>
      <c r="AR301" s="111">
        <v>800000</v>
      </c>
      <c r="AS301" s="111"/>
      <c r="AT301" s="111"/>
      <c r="AU301" s="153"/>
    </row>
    <row r="302" spans="1:58" ht="18.75" customHeight="1">
      <c r="A302" s="133">
        <v>226</v>
      </c>
      <c r="B302" s="134"/>
      <c r="C302" s="135" t="s">
        <v>53</v>
      </c>
      <c r="D302" s="135"/>
      <c r="E302" s="135"/>
      <c r="F302" s="135"/>
      <c r="G302" s="135"/>
      <c r="H302" s="135"/>
      <c r="I302" s="135"/>
      <c r="J302" s="136"/>
      <c r="K302" s="100">
        <f t="shared" si="15"/>
        <v>273930631</v>
      </c>
      <c r="L302" s="100"/>
      <c r="M302" s="100"/>
      <c r="N302" s="100"/>
      <c r="O302" s="100"/>
      <c r="P302" s="110">
        <v>122257394</v>
      </c>
      <c r="Q302" s="110"/>
      <c r="R302" s="110"/>
      <c r="S302" s="110"/>
      <c r="T302" s="110">
        <f>18675800+300000+3916000+42500000</f>
        <v>65391800</v>
      </c>
      <c r="U302" s="110"/>
      <c r="V302" s="110"/>
      <c r="W302" s="110"/>
      <c r="X302" s="110">
        <v>126977401</v>
      </c>
      <c r="Y302" s="110"/>
      <c r="Z302" s="110"/>
      <c r="AA302" s="110"/>
      <c r="AB302" s="110">
        <f>7680264+928600+67148000+1309200</f>
        <v>77066064</v>
      </c>
      <c r="AC302" s="110"/>
      <c r="AD302" s="110"/>
      <c r="AE302" s="110"/>
      <c r="AF302" s="110">
        <v>15860678</v>
      </c>
      <c r="AG302" s="110"/>
      <c r="AH302" s="110"/>
      <c r="AI302" s="110"/>
      <c r="AJ302" s="110">
        <f>6580478+8184000+235300</f>
        <v>14999778</v>
      </c>
      <c r="AK302" s="110"/>
      <c r="AL302" s="110"/>
      <c r="AM302" s="110"/>
      <c r="AN302" s="110">
        <v>8835158</v>
      </c>
      <c r="AO302" s="110"/>
      <c r="AP302" s="110"/>
      <c r="AQ302" s="110"/>
      <c r="AR302" s="110">
        <f>1686058+6500000+154100</f>
        <v>8340158</v>
      </c>
      <c r="AS302" s="110"/>
      <c r="AT302" s="110"/>
      <c r="AU302" s="132"/>
      <c r="AZ302" s="281"/>
      <c r="BA302" s="282"/>
      <c r="BB302" s="282"/>
      <c r="BC302" s="282"/>
      <c r="BD302" s="282"/>
      <c r="BE302" s="282"/>
      <c r="BF302" s="282"/>
    </row>
    <row r="303" spans="1:47" s="60" customFormat="1" ht="18" customHeight="1">
      <c r="A303" s="145" t="s">
        <v>161</v>
      </c>
      <c r="B303" s="146"/>
      <c r="C303" s="146"/>
      <c r="D303" s="146"/>
      <c r="E303" s="146"/>
      <c r="F303" s="146"/>
      <c r="G303" s="146"/>
      <c r="H303" s="146"/>
      <c r="I303" s="146"/>
      <c r="J303" s="147"/>
      <c r="K303" s="100">
        <f>P303+X303+AF303+AN303</f>
        <v>217074494</v>
      </c>
      <c r="L303" s="100"/>
      <c r="M303" s="100"/>
      <c r="N303" s="100"/>
      <c r="O303" s="100"/>
      <c r="P303" s="110">
        <v>93404694</v>
      </c>
      <c r="Q303" s="110"/>
      <c r="R303" s="110"/>
      <c r="S303" s="110"/>
      <c r="T303" s="111">
        <v>42500000</v>
      </c>
      <c r="U303" s="111"/>
      <c r="V303" s="111"/>
      <c r="W303" s="111"/>
      <c r="X303" s="110">
        <v>107784900</v>
      </c>
      <c r="Y303" s="110"/>
      <c r="Z303" s="110"/>
      <c r="AA303" s="110"/>
      <c r="AB303" s="111">
        <v>67148000</v>
      </c>
      <c r="AC303" s="111"/>
      <c r="AD303" s="111"/>
      <c r="AE303" s="111"/>
      <c r="AF303" s="110">
        <v>9044900</v>
      </c>
      <c r="AG303" s="110"/>
      <c r="AH303" s="110"/>
      <c r="AI303" s="110"/>
      <c r="AJ303" s="111">
        <v>8184000</v>
      </c>
      <c r="AK303" s="111"/>
      <c r="AL303" s="111"/>
      <c r="AM303" s="111"/>
      <c r="AN303" s="110">
        <v>6840000</v>
      </c>
      <c r="AO303" s="110"/>
      <c r="AP303" s="110"/>
      <c r="AQ303" s="110"/>
      <c r="AR303" s="111">
        <v>6500000</v>
      </c>
      <c r="AS303" s="111"/>
      <c r="AT303" s="111"/>
      <c r="AU303" s="153"/>
    </row>
    <row r="304" spans="1:58" ht="15.75">
      <c r="A304" s="148">
        <v>900</v>
      </c>
      <c r="B304" s="149"/>
      <c r="C304" s="150" t="s">
        <v>57</v>
      </c>
      <c r="D304" s="150"/>
      <c r="E304" s="150"/>
      <c r="F304" s="150"/>
      <c r="G304" s="150"/>
      <c r="H304" s="150"/>
      <c r="I304" s="150"/>
      <c r="J304" s="151"/>
      <c r="K304" s="100">
        <f>P304+X304+AF304+AN304</f>
        <v>384050883</v>
      </c>
      <c r="L304" s="100"/>
      <c r="M304" s="100"/>
      <c r="N304" s="100"/>
      <c r="O304" s="100"/>
      <c r="P304" s="140">
        <f>P294+P296+P298+P300+P302</f>
        <v>167929674</v>
      </c>
      <c r="Q304" s="140"/>
      <c r="R304" s="140"/>
      <c r="S304" s="140"/>
      <c r="T304" s="140">
        <f>T294+T296+T298+T300+T302</f>
        <v>91667628</v>
      </c>
      <c r="U304" s="140"/>
      <c r="V304" s="140"/>
      <c r="W304" s="140"/>
      <c r="X304" s="140">
        <f>X294+X296+X298+X300+X302</f>
        <v>177040205</v>
      </c>
      <c r="Y304" s="140"/>
      <c r="Z304" s="140"/>
      <c r="AA304" s="140"/>
      <c r="AB304" s="140">
        <f>AB294+AB296+AB298+AB300+AB302</f>
        <v>104456668</v>
      </c>
      <c r="AC304" s="140"/>
      <c r="AD304" s="140"/>
      <c r="AE304" s="140"/>
      <c r="AF304" s="140">
        <f>AF294+AF296+AF298+AF300+AF302</f>
        <v>24550572</v>
      </c>
      <c r="AG304" s="140"/>
      <c r="AH304" s="140"/>
      <c r="AI304" s="140"/>
      <c r="AJ304" s="140">
        <f>AJ294+AJ296+AJ298+AJ300+AJ302</f>
        <v>18767894</v>
      </c>
      <c r="AK304" s="140"/>
      <c r="AL304" s="140"/>
      <c r="AM304" s="140"/>
      <c r="AN304" s="140">
        <f>AN294+AN296+AN298+AN300+AN302</f>
        <v>14530432</v>
      </c>
      <c r="AO304" s="140"/>
      <c r="AP304" s="140"/>
      <c r="AQ304" s="140"/>
      <c r="AR304" s="140">
        <f>AR294+AR296+AR298+AR300+AR302</f>
        <v>13658632</v>
      </c>
      <c r="AS304" s="140"/>
      <c r="AT304" s="140"/>
      <c r="AU304" s="141"/>
      <c r="AZ304" s="281"/>
      <c r="BA304" s="282"/>
      <c r="BB304" s="282"/>
      <c r="BC304" s="282"/>
      <c r="BD304" s="282"/>
      <c r="BE304" s="282"/>
      <c r="BF304" s="282"/>
    </row>
    <row r="305" spans="1:47" s="60" customFormat="1" ht="18" customHeight="1" thickBot="1">
      <c r="A305" s="145" t="s">
        <v>161</v>
      </c>
      <c r="B305" s="146"/>
      <c r="C305" s="146"/>
      <c r="D305" s="146"/>
      <c r="E305" s="146"/>
      <c r="F305" s="146"/>
      <c r="G305" s="146"/>
      <c r="H305" s="146"/>
      <c r="I305" s="146"/>
      <c r="J305" s="147"/>
      <c r="K305" s="152">
        <f>P305+X305+AF305+AN305</f>
        <v>315220446</v>
      </c>
      <c r="L305" s="152"/>
      <c r="M305" s="152"/>
      <c r="N305" s="152"/>
      <c r="O305" s="152"/>
      <c r="P305" s="110">
        <f>P295+P297+P299+P301+P303</f>
        <v>128927168</v>
      </c>
      <c r="Q305" s="110"/>
      <c r="R305" s="110"/>
      <c r="S305" s="110"/>
      <c r="T305" s="111">
        <f>T295+T297+T299+T301+T303</f>
        <v>59159182</v>
      </c>
      <c r="U305" s="111"/>
      <c r="V305" s="111"/>
      <c r="W305" s="111"/>
      <c r="X305" s="110">
        <f>X295+X297+X299+X301+X303</f>
        <v>156651100</v>
      </c>
      <c r="Y305" s="110"/>
      <c r="Z305" s="110"/>
      <c r="AA305" s="110"/>
      <c r="AB305" s="111">
        <f>AB295+AB297+AB299+AB301+AB303</f>
        <v>93387000</v>
      </c>
      <c r="AC305" s="111"/>
      <c r="AD305" s="111"/>
      <c r="AE305" s="111"/>
      <c r="AF305" s="110">
        <f>AF295+AF297+AF299+AF301+AF303</f>
        <v>17563178</v>
      </c>
      <c r="AG305" s="110"/>
      <c r="AH305" s="110"/>
      <c r="AI305" s="110"/>
      <c r="AJ305" s="111">
        <f>AJ295+AJ297+AJ299+AJ301+AJ303</f>
        <v>13030500</v>
      </c>
      <c r="AK305" s="111"/>
      <c r="AL305" s="111"/>
      <c r="AM305" s="111"/>
      <c r="AN305" s="110">
        <f>AN295+AN297+AN299+AN301+AN303</f>
        <v>12079000</v>
      </c>
      <c r="AO305" s="110"/>
      <c r="AP305" s="110"/>
      <c r="AQ305" s="110"/>
      <c r="AR305" s="111">
        <f>AR295+AR297+AR299+AR301+AR303</f>
        <v>11400000</v>
      </c>
      <c r="AS305" s="111"/>
      <c r="AT305" s="111"/>
      <c r="AU305" s="153"/>
    </row>
    <row r="306" spans="1:60" s="37" customFormat="1" ht="26.25" customHeight="1" thickBot="1">
      <c r="A306" s="142" t="s">
        <v>207</v>
      </c>
      <c r="B306" s="143"/>
      <c r="C306" s="143"/>
      <c r="D306" s="143"/>
      <c r="E306" s="143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  <c r="P306" s="144">
        <f>P304/Q235</f>
        <v>0.1111769341600437</v>
      </c>
      <c r="Q306" s="144"/>
      <c r="R306" s="144"/>
      <c r="S306" s="144"/>
      <c r="T306" s="138">
        <f>T304/Q235</f>
        <v>0.060688058280654905</v>
      </c>
      <c r="U306" s="138"/>
      <c r="V306" s="138"/>
      <c r="W306" s="138"/>
      <c r="X306" s="144">
        <f>X304/V235</f>
        <v>0.15110569776353344</v>
      </c>
      <c r="Y306" s="144"/>
      <c r="Z306" s="144"/>
      <c r="AA306" s="144"/>
      <c r="AB306" s="138">
        <f>AB304/V235</f>
        <v>0.08915487701900117</v>
      </c>
      <c r="AC306" s="138"/>
      <c r="AD306" s="138"/>
      <c r="AE306" s="138"/>
      <c r="AF306" s="144">
        <f>AF304/AA235</f>
        <v>0.06508468164156159</v>
      </c>
      <c r="AG306" s="144"/>
      <c r="AH306" s="144"/>
      <c r="AI306" s="144"/>
      <c r="AJ306" s="138">
        <f>AJ304/AA235</f>
        <v>0.049754539571321345</v>
      </c>
      <c r="AK306" s="138"/>
      <c r="AL306" s="138"/>
      <c r="AM306" s="138"/>
      <c r="AN306" s="144">
        <f>AN304/AF235</f>
        <v>0.10386977316552509</v>
      </c>
      <c r="AO306" s="144"/>
      <c r="AP306" s="144"/>
      <c r="AQ306" s="144"/>
      <c r="AR306" s="138">
        <f>AR304/AF235</f>
        <v>0.09763777206289409</v>
      </c>
      <c r="AS306" s="138"/>
      <c r="AT306" s="138"/>
      <c r="AU306" s="139"/>
      <c r="AZ306" s="281"/>
      <c r="BA306" s="282"/>
      <c r="BB306" s="282"/>
      <c r="BC306" s="282"/>
      <c r="BD306" s="282"/>
      <c r="BE306" s="282"/>
      <c r="BF306" s="282"/>
      <c r="BG306" s="282"/>
      <c r="BH306" s="283"/>
    </row>
    <row r="307" ht="11.25" customHeight="1"/>
    <row r="308" spans="1:50" ht="18" customHeight="1">
      <c r="A308" s="91" t="s">
        <v>185</v>
      </c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</row>
    <row r="309" spans="1:50" s="12" customFormat="1" ht="15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</row>
    <row r="310" spans="2:42" s="83" customFormat="1" ht="16.5" customHeight="1">
      <c r="B310" s="105" t="s">
        <v>188</v>
      </c>
      <c r="C310" s="105"/>
      <c r="D310" s="105"/>
      <c r="E310" s="105"/>
      <c r="F310" s="105"/>
      <c r="G310" s="105"/>
      <c r="H310" s="105"/>
      <c r="I310" s="105"/>
      <c r="J310" s="105"/>
      <c r="K310" s="105" t="s">
        <v>166</v>
      </c>
      <c r="L310" s="105"/>
      <c r="M310" s="105"/>
      <c r="N310" s="105"/>
      <c r="O310" s="105"/>
      <c r="P310" s="105"/>
      <c r="Q310" s="105"/>
      <c r="R310" s="105"/>
      <c r="S310" s="105"/>
      <c r="T310" s="105"/>
      <c r="U310" s="103" t="s">
        <v>23</v>
      </c>
      <c r="V310" s="103"/>
      <c r="W310" s="103"/>
      <c r="X310" s="103"/>
      <c r="Y310" s="103"/>
      <c r="Z310" s="103"/>
      <c r="AA310" s="103"/>
      <c r="AB310" s="104" t="s">
        <v>24</v>
      </c>
      <c r="AC310" s="104"/>
      <c r="AD310" s="104"/>
      <c r="AE310" s="104"/>
      <c r="AF310" s="104"/>
      <c r="AG310" s="104"/>
      <c r="AH310" s="104"/>
      <c r="AI310" s="104"/>
      <c r="AJ310" s="105" t="s">
        <v>32</v>
      </c>
      <c r="AK310" s="105"/>
      <c r="AL310" s="105"/>
      <c r="AM310" s="105"/>
      <c r="AN310" s="105"/>
      <c r="AO310" s="105"/>
      <c r="AP310" s="105"/>
    </row>
    <row r="311" spans="2:42" s="84" customFormat="1" ht="16.5" customHeight="1">
      <c r="B311" s="106">
        <v>88000000</v>
      </c>
      <c r="C311" s="106"/>
      <c r="D311" s="106"/>
      <c r="E311" s="106"/>
      <c r="F311" s="106"/>
      <c r="G311" s="106"/>
      <c r="H311" s="106"/>
      <c r="I311" s="106"/>
      <c r="J311" s="106"/>
      <c r="K311" s="106">
        <v>59000000</v>
      </c>
      <c r="L311" s="106"/>
      <c r="M311" s="106"/>
      <c r="N311" s="106"/>
      <c r="O311" s="106"/>
      <c r="P311" s="106"/>
      <c r="Q311" s="106"/>
      <c r="R311" s="106"/>
      <c r="S311" s="106"/>
      <c r="T311" s="106"/>
      <c r="U311" s="107">
        <v>38000000</v>
      </c>
      <c r="V311" s="107"/>
      <c r="W311" s="107"/>
      <c r="X311" s="107"/>
      <c r="Y311" s="107"/>
      <c r="Z311" s="107"/>
      <c r="AA311" s="107"/>
      <c r="AB311" s="108">
        <v>6000000</v>
      </c>
      <c r="AC311" s="108"/>
      <c r="AD311" s="108"/>
      <c r="AE311" s="108"/>
      <c r="AF311" s="108"/>
      <c r="AG311" s="108"/>
      <c r="AH311" s="108"/>
      <c r="AI311" s="108"/>
      <c r="AJ311" s="109">
        <f>B311+K311+U311+AB311</f>
        <v>191000000</v>
      </c>
      <c r="AK311" s="109"/>
      <c r="AL311" s="109"/>
      <c r="AM311" s="109"/>
      <c r="AN311" s="109"/>
      <c r="AO311" s="109"/>
      <c r="AP311" s="109"/>
    </row>
    <row r="312" spans="16:35" s="12" customFormat="1" ht="15.75">
      <c r="P312" s="80"/>
      <c r="Q312" s="80"/>
      <c r="R312" s="80"/>
      <c r="S312" s="80"/>
      <c r="T312" s="80"/>
      <c r="U312" s="80"/>
      <c r="V312" s="80"/>
      <c r="W312" s="80"/>
      <c r="X312" s="81"/>
      <c r="Y312" s="81"/>
      <c r="Z312" s="81"/>
      <c r="AA312" s="81"/>
      <c r="AB312" s="81"/>
      <c r="AC312" s="81"/>
      <c r="AD312" s="81"/>
      <c r="AE312" s="81"/>
      <c r="AF312" s="81"/>
      <c r="AG312" s="51"/>
      <c r="AH312" s="51"/>
      <c r="AI312" s="51"/>
    </row>
    <row r="313" spans="16:35" s="12" customFormat="1" ht="15.75">
      <c r="P313" s="82"/>
      <c r="Q313" s="82"/>
      <c r="R313" s="82"/>
      <c r="S313" s="82"/>
      <c r="T313" s="82"/>
      <c r="U313" s="82"/>
      <c r="V313" s="82"/>
      <c r="W313" s="82"/>
      <c r="X313" s="81"/>
      <c r="Y313" s="81"/>
      <c r="Z313" s="81"/>
      <c r="AA313" s="81"/>
      <c r="AB313" s="81"/>
      <c r="AC313" s="81"/>
      <c r="AD313" s="81"/>
      <c r="AE313" s="81"/>
      <c r="AF313" s="81"/>
      <c r="AG313" s="51"/>
      <c r="AH313" s="51"/>
      <c r="AI313" s="51"/>
    </row>
    <row r="314" spans="1:50" s="12" customFormat="1" ht="15.75">
      <c r="A314" s="116" t="s">
        <v>186</v>
      </c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  <c r="AA314" s="116"/>
      <c r="AB314" s="116"/>
      <c r="AC314" s="116"/>
      <c r="AD314" s="116"/>
      <c r="AE314" s="116"/>
      <c r="AF314" s="116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116"/>
      <c r="AQ314" s="116"/>
      <c r="AR314" s="116"/>
      <c r="AS314" s="116"/>
      <c r="AT314" s="116"/>
      <c r="AU314" s="116"/>
      <c r="AV314" s="116"/>
      <c r="AW314" s="116"/>
      <c r="AX314" s="116"/>
    </row>
    <row r="315" spans="1:50" s="12" customFormat="1" ht="15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</row>
    <row r="316" spans="1:50" ht="18" customHeight="1">
      <c r="A316" s="91" t="s">
        <v>189</v>
      </c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</row>
    <row r="318" ht="15.75">
      <c r="A318" s="10" t="s">
        <v>190</v>
      </c>
    </row>
    <row r="319" ht="15.75">
      <c r="A319" s="10" t="s">
        <v>194</v>
      </c>
    </row>
    <row r="320" ht="15.75">
      <c r="A320" s="10" t="s">
        <v>192</v>
      </c>
    </row>
    <row r="321" ht="15.75">
      <c r="A321" s="10" t="s">
        <v>193</v>
      </c>
    </row>
    <row r="322" ht="15.75">
      <c r="A322" s="10" t="s">
        <v>191</v>
      </c>
    </row>
    <row r="323" ht="15.75">
      <c r="A323" s="10" t="s">
        <v>195</v>
      </c>
    </row>
    <row r="325" spans="1:50" ht="18" customHeight="1" hidden="1">
      <c r="A325" s="137" t="s">
        <v>72</v>
      </c>
      <c r="B325" s="137"/>
      <c r="C325" s="137"/>
      <c r="D325" s="137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</row>
    <row r="326" spans="1:50" ht="18" customHeight="1" hidden="1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</row>
    <row r="327" spans="1:50" s="39" customFormat="1" ht="15" customHeight="1" hidden="1">
      <c r="A327" s="126" t="s">
        <v>87</v>
      </c>
      <c r="B327" s="126"/>
      <c r="C327" s="126"/>
      <c r="D327" s="126"/>
      <c r="E327" s="126"/>
      <c r="F327" s="126"/>
      <c r="G327" s="126"/>
      <c r="H327" s="125" t="s">
        <v>82</v>
      </c>
      <c r="I327" s="125"/>
      <c r="J327" s="125"/>
      <c r="K327" s="125"/>
      <c r="L327" s="126" t="s">
        <v>78</v>
      </c>
      <c r="M327" s="126"/>
      <c r="N327" s="126"/>
      <c r="O327" s="126"/>
      <c r="P327" s="126"/>
      <c r="Q327" s="126"/>
      <c r="R327" s="126"/>
      <c r="S327" s="126"/>
      <c r="T327" s="126"/>
      <c r="U327" s="126" t="s">
        <v>88</v>
      </c>
      <c r="V327" s="126"/>
      <c r="W327" s="126"/>
      <c r="X327" s="126"/>
      <c r="Y327" s="126"/>
      <c r="Z327" s="126"/>
      <c r="AA327" s="126"/>
      <c r="AB327" s="126"/>
      <c r="AC327" s="126"/>
      <c r="AD327" s="126"/>
      <c r="AE327" s="126"/>
      <c r="AF327" s="126"/>
      <c r="AG327" s="126"/>
      <c r="AH327" s="126"/>
      <c r="AI327" s="126"/>
      <c r="AJ327" s="126" t="s">
        <v>77</v>
      </c>
      <c r="AK327" s="126"/>
      <c r="AL327" s="126"/>
      <c r="AM327" s="126"/>
      <c r="AN327" s="126"/>
      <c r="AO327" s="126"/>
      <c r="AP327" s="126"/>
      <c r="AQ327" s="126"/>
      <c r="AR327" s="126"/>
      <c r="AS327" s="126"/>
      <c r="AT327" s="126"/>
      <c r="AU327" s="126"/>
      <c r="AV327" s="126"/>
      <c r="AW327" s="126"/>
      <c r="AX327" s="126"/>
    </row>
    <row r="328" spans="1:50" s="37" customFormat="1" ht="43.5" customHeight="1" hidden="1">
      <c r="A328" s="126"/>
      <c r="B328" s="126"/>
      <c r="C328" s="126"/>
      <c r="D328" s="126"/>
      <c r="E328" s="126"/>
      <c r="F328" s="126"/>
      <c r="G328" s="126"/>
      <c r="H328" s="125"/>
      <c r="I328" s="125"/>
      <c r="J328" s="125"/>
      <c r="K328" s="125"/>
      <c r="L328" s="125" t="s">
        <v>79</v>
      </c>
      <c r="M328" s="125"/>
      <c r="N328" s="125"/>
      <c r="O328" s="125" t="s">
        <v>80</v>
      </c>
      <c r="P328" s="125"/>
      <c r="Q328" s="125"/>
      <c r="R328" s="125" t="s">
        <v>81</v>
      </c>
      <c r="S328" s="125"/>
      <c r="T328" s="125"/>
      <c r="U328" s="125" t="s">
        <v>76</v>
      </c>
      <c r="V328" s="125"/>
      <c r="W328" s="125"/>
      <c r="X328" s="125"/>
      <c r="Y328" s="125" t="s">
        <v>75</v>
      </c>
      <c r="Z328" s="125"/>
      <c r="AA328" s="125"/>
      <c r="AB328" s="125"/>
      <c r="AC328" s="125" t="s">
        <v>74</v>
      </c>
      <c r="AD328" s="125"/>
      <c r="AE328" s="125"/>
      <c r="AF328" s="125"/>
      <c r="AG328" s="125" t="s">
        <v>73</v>
      </c>
      <c r="AH328" s="125"/>
      <c r="AI328" s="125"/>
      <c r="AJ328" s="125" t="s">
        <v>76</v>
      </c>
      <c r="AK328" s="125"/>
      <c r="AL328" s="125"/>
      <c r="AM328" s="125"/>
      <c r="AN328" s="125" t="s">
        <v>75</v>
      </c>
      <c r="AO328" s="125"/>
      <c r="AP328" s="125"/>
      <c r="AQ328" s="125"/>
      <c r="AR328" s="125" t="s">
        <v>74</v>
      </c>
      <c r="AS328" s="125"/>
      <c r="AT328" s="125"/>
      <c r="AU328" s="125"/>
      <c r="AV328" s="125" t="s">
        <v>73</v>
      </c>
      <c r="AW328" s="125"/>
      <c r="AX328" s="125"/>
    </row>
    <row r="329" spans="1:50" s="39" customFormat="1" ht="13.5" customHeight="1" hidden="1">
      <c r="A329" s="41" t="s">
        <v>83</v>
      </c>
      <c r="B329" s="41"/>
      <c r="C329" s="41"/>
      <c r="D329" s="41"/>
      <c r="E329" s="41"/>
      <c r="F329" s="41"/>
      <c r="G329" s="41"/>
      <c r="H329" s="128">
        <v>262659</v>
      </c>
      <c r="I329" s="128"/>
      <c r="J329" s="128"/>
      <c r="K329" s="128"/>
      <c r="L329" s="126">
        <v>5298.1</v>
      </c>
      <c r="M329" s="126"/>
      <c r="N329" s="126"/>
      <c r="O329" s="126">
        <v>1187</v>
      </c>
      <c r="P329" s="126"/>
      <c r="Q329" s="126"/>
      <c r="R329" s="123">
        <f>L329+O329</f>
        <v>6485.1</v>
      </c>
      <c r="S329" s="123"/>
      <c r="T329" s="123"/>
      <c r="U329" s="126">
        <v>736425653</v>
      </c>
      <c r="V329" s="126"/>
      <c r="W329" s="126"/>
      <c r="X329" s="126"/>
      <c r="Y329" s="126">
        <v>528078776</v>
      </c>
      <c r="Z329" s="126"/>
      <c r="AA329" s="126"/>
      <c r="AB329" s="126"/>
      <c r="AC329" s="123">
        <f>U329+Y329</f>
        <v>1264504429</v>
      </c>
      <c r="AD329" s="123"/>
      <c r="AE329" s="123"/>
      <c r="AF329" s="123"/>
      <c r="AG329" s="130">
        <f>Y329/AC329</f>
        <v>0.41761718179003704</v>
      </c>
      <c r="AH329" s="130"/>
      <c r="AI329" s="130"/>
      <c r="AJ329" s="126">
        <v>807482691</v>
      </c>
      <c r="AK329" s="126"/>
      <c r="AL329" s="126"/>
      <c r="AM329" s="126"/>
      <c r="AN329" s="126">
        <v>761348669</v>
      </c>
      <c r="AO329" s="126"/>
      <c r="AP329" s="126"/>
      <c r="AQ329" s="126"/>
      <c r="AR329" s="123">
        <f>AJ329+AN329</f>
        <v>1568831360</v>
      </c>
      <c r="AS329" s="123"/>
      <c r="AT329" s="123"/>
      <c r="AU329" s="123"/>
      <c r="AV329" s="130">
        <f>AN329/AR329</f>
        <v>0.48529669179993956</v>
      </c>
      <c r="AW329" s="130"/>
      <c r="AX329" s="130"/>
    </row>
    <row r="330" spans="1:50" s="39" customFormat="1" ht="13.5" customHeight="1" hidden="1">
      <c r="A330" s="41" t="s">
        <v>84</v>
      </c>
      <c r="B330" s="41"/>
      <c r="C330" s="41"/>
      <c r="D330" s="41"/>
      <c r="E330" s="41"/>
      <c r="F330" s="41"/>
      <c r="G330" s="41"/>
      <c r="H330" s="128">
        <v>136035</v>
      </c>
      <c r="I330" s="128"/>
      <c r="J330" s="128"/>
      <c r="K330" s="128"/>
      <c r="L330" s="126">
        <v>1979.6</v>
      </c>
      <c r="M330" s="126"/>
      <c r="N330" s="126"/>
      <c r="O330" s="126">
        <v>547</v>
      </c>
      <c r="P330" s="126"/>
      <c r="Q330" s="126"/>
      <c r="R330" s="123">
        <f>L330+O330</f>
        <v>2526.6</v>
      </c>
      <c r="S330" s="123"/>
      <c r="T330" s="123"/>
      <c r="U330" s="126">
        <v>408867157</v>
      </c>
      <c r="V330" s="126"/>
      <c r="W330" s="126"/>
      <c r="X330" s="126"/>
      <c r="Y330" s="126">
        <v>676589272</v>
      </c>
      <c r="Z330" s="126"/>
      <c r="AA330" s="126"/>
      <c r="AB330" s="126"/>
      <c r="AC330" s="123">
        <f>U330+Y330</f>
        <v>1085456429</v>
      </c>
      <c r="AD330" s="123"/>
      <c r="AE330" s="123"/>
      <c r="AF330" s="123"/>
      <c r="AG330" s="130">
        <f>Y330/AC330</f>
        <v>0.6233223682901048</v>
      </c>
      <c r="AH330" s="130"/>
      <c r="AI330" s="130"/>
      <c r="AJ330" s="126">
        <v>319684479</v>
      </c>
      <c r="AK330" s="126"/>
      <c r="AL330" s="126"/>
      <c r="AM330" s="126"/>
      <c r="AN330" s="126">
        <v>808682103</v>
      </c>
      <c r="AO330" s="126"/>
      <c r="AP330" s="126"/>
      <c r="AQ330" s="126"/>
      <c r="AR330" s="123">
        <f>AJ330+AN330</f>
        <v>1128366582</v>
      </c>
      <c r="AS330" s="123"/>
      <c r="AT330" s="123"/>
      <c r="AU330" s="123"/>
      <c r="AV330" s="130">
        <f>AN330/AR330</f>
        <v>0.7166838471648392</v>
      </c>
      <c r="AW330" s="130"/>
      <c r="AX330" s="130"/>
    </row>
    <row r="331" spans="1:50" s="39" customFormat="1" ht="13.5" customHeight="1" hidden="1">
      <c r="A331" s="41" t="s">
        <v>85</v>
      </c>
      <c r="B331" s="41"/>
      <c r="C331" s="41"/>
      <c r="D331" s="41"/>
      <c r="E331" s="41"/>
      <c r="F331" s="41"/>
      <c r="G331" s="41"/>
      <c r="H331" s="128">
        <v>47001</v>
      </c>
      <c r="I331" s="128"/>
      <c r="J331" s="128"/>
      <c r="K331" s="128"/>
      <c r="L331" s="126">
        <v>1608</v>
      </c>
      <c r="M331" s="126"/>
      <c r="N331" s="126"/>
      <c r="O331" s="126">
        <v>296</v>
      </c>
      <c r="P331" s="126"/>
      <c r="Q331" s="126"/>
      <c r="R331" s="123">
        <f>L331+O331</f>
        <v>1904</v>
      </c>
      <c r="S331" s="123"/>
      <c r="T331" s="123"/>
      <c r="U331" s="126">
        <v>238061256</v>
      </c>
      <c r="V331" s="126"/>
      <c r="W331" s="126"/>
      <c r="X331" s="126"/>
      <c r="Y331" s="126">
        <v>120858875</v>
      </c>
      <c r="Z331" s="126"/>
      <c r="AA331" s="126"/>
      <c r="AB331" s="126"/>
      <c r="AC331" s="123">
        <f>U331+Y331</f>
        <v>358920131</v>
      </c>
      <c r="AD331" s="123"/>
      <c r="AE331" s="123"/>
      <c r="AF331" s="123"/>
      <c r="AG331" s="130">
        <f>Y331/AC331</f>
        <v>0.3367291621767518</v>
      </c>
      <c r="AH331" s="130"/>
      <c r="AI331" s="130"/>
      <c r="AJ331" s="126">
        <v>266551848</v>
      </c>
      <c r="AK331" s="126"/>
      <c r="AL331" s="126"/>
      <c r="AM331" s="126"/>
      <c r="AN331" s="126">
        <v>112586609</v>
      </c>
      <c r="AO331" s="126"/>
      <c r="AP331" s="126"/>
      <c r="AQ331" s="126"/>
      <c r="AR331" s="123">
        <f>AJ331+AN331</f>
        <v>379138457</v>
      </c>
      <c r="AS331" s="123"/>
      <c r="AT331" s="123"/>
      <c r="AU331" s="123"/>
      <c r="AV331" s="130">
        <f>AN331/AR331</f>
        <v>0.2969538091462982</v>
      </c>
      <c r="AW331" s="130"/>
      <c r="AX331" s="130"/>
    </row>
    <row r="332" spans="1:50" s="39" customFormat="1" ht="13.5" customHeight="1" hidden="1">
      <c r="A332" s="41" t="s">
        <v>86</v>
      </c>
      <c r="B332" s="41"/>
      <c r="C332" s="41"/>
      <c r="D332" s="41"/>
      <c r="E332" s="41"/>
      <c r="F332" s="41"/>
      <c r="G332" s="41"/>
      <c r="H332" s="128">
        <v>11343</v>
      </c>
      <c r="I332" s="128"/>
      <c r="J332" s="128"/>
      <c r="K332" s="128"/>
      <c r="L332" s="126">
        <v>465</v>
      </c>
      <c r="M332" s="126"/>
      <c r="N332" s="126"/>
      <c r="O332" s="126">
        <v>98</v>
      </c>
      <c r="P332" s="126"/>
      <c r="Q332" s="126"/>
      <c r="R332" s="123">
        <f>L332+O332</f>
        <v>563</v>
      </c>
      <c r="S332" s="123"/>
      <c r="T332" s="123"/>
      <c r="U332" s="126">
        <v>56343059</v>
      </c>
      <c r="V332" s="126"/>
      <c r="W332" s="126"/>
      <c r="X332" s="126"/>
      <c r="Y332" s="126">
        <v>39865698</v>
      </c>
      <c r="Z332" s="126"/>
      <c r="AA332" s="126"/>
      <c r="AB332" s="126"/>
      <c r="AC332" s="123">
        <f>U332+Y332</f>
        <v>96208757</v>
      </c>
      <c r="AD332" s="123"/>
      <c r="AE332" s="123"/>
      <c r="AF332" s="123"/>
      <c r="AG332" s="130">
        <f>Y332/AC332</f>
        <v>0.4143666256908402</v>
      </c>
      <c r="AH332" s="130"/>
      <c r="AI332" s="130"/>
      <c r="AJ332" s="126">
        <v>80891982</v>
      </c>
      <c r="AK332" s="126"/>
      <c r="AL332" s="126"/>
      <c r="AM332" s="126"/>
      <c r="AN332" s="126">
        <v>58988447</v>
      </c>
      <c r="AO332" s="126"/>
      <c r="AP332" s="126"/>
      <c r="AQ332" s="126"/>
      <c r="AR332" s="123">
        <f>AJ332+AN332</f>
        <v>139880429</v>
      </c>
      <c r="AS332" s="123"/>
      <c r="AT332" s="123"/>
      <c r="AU332" s="123"/>
      <c r="AV332" s="130">
        <f>AN332/AR332</f>
        <v>0.4217062202461504</v>
      </c>
      <c r="AW332" s="130"/>
      <c r="AX332" s="130"/>
    </row>
    <row r="333" spans="1:50" s="40" customFormat="1" ht="13.5" customHeight="1" hidden="1">
      <c r="A333" s="127" t="s">
        <v>12</v>
      </c>
      <c r="B333" s="127"/>
      <c r="C333" s="127"/>
      <c r="D333" s="127"/>
      <c r="E333" s="127"/>
      <c r="F333" s="127"/>
      <c r="G333" s="127"/>
      <c r="H333" s="129">
        <f>SUM(H329:H332)</f>
        <v>457038</v>
      </c>
      <c r="I333" s="129"/>
      <c r="J333" s="129"/>
      <c r="K333" s="129"/>
      <c r="L333" s="123">
        <f>SUM(L329:L332)</f>
        <v>9350.7</v>
      </c>
      <c r="M333" s="123"/>
      <c r="N333" s="123"/>
      <c r="O333" s="123">
        <f>SUM(O329:O332)</f>
        <v>2128</v>
      </c>
      <c r="P333" s="123"/>
      <c r="Q333" s="123"/>
      <c r="R333" s="123">
        <f>L333+O333</f>
        <v>11478.7</v>
      </c>
      <c r="S333" s="123"/>
      <c r="T333" s="123"/>
      <c r="U333" s="123">
        <f>SUM(U329:U332)</f>
        <v>1439697125</v>
      </c>
      <c r="V333" s="123"/>
      <c r="W333" s="123"/>
      <c r="X333" s="123"/>
      <c r="Y333" s="123">
        <f>SUM(Y329:Y332)</f>
        <v>1365392621</v>
      </c>
      <c r="Z333" s="123"/>
      <c r="AA333" s="123"/>
      <c r="AB333" s="123"/>
      <c r="AC333" s="123">
        <f>U333+Y333</f>
        <v>2805089746</v>
      </c>
      <c r="AD333" s="123"/>
      <c r="AE333" s="123"/>
      <c r="AF333" s="123"/>
      <c r="AG333" s="131"/>
      <c r="AH333" s="131"/>
      <c r="AI333" s="131"/>
      <c r="AJ333" s="123">
        <f>SUM(AJ329:AJ332)</f>
        <v>1474611000</v>
      </c>
      <c r="AK333" s="123"/>
      <c r="AL333" s="123"/>
      <c r="AM333" s="123"/>
      <c r="AN333" s="123">
        <f>SUM(AN329:AN332)</f>
        <v>1741605828</v>
      </c>
      <c r="AO333" s="123"/>
      <c r="AP333" s="123"/>
      <c r="AQ333" s="123"/>
      <c r="AR333" s="123">
        <f>SUM(AR329:AR332)</f>
        <v>3216216828</v>
      </c>
      <c r="AS333" s="123"/>
      <c r="AT333" s="123"/>
      <c r="AU333" s="123"/>
      <c r="AV333" s="123"/>
      <c r="AW333" s="123"/>
      <c r="AX333" s="123"/>
    </row>
    <row r="334" spans="1:50" s="85" customFormat="1" ht="21" customHeight="1">
      <c r="A334" s="93" t="s">
        <v>91</v>
      </c>
      <c r="B334" s="94"/>
      <c r="C334" s="94"/>
      <c r="D334" s="94"/>
      <c r="E334" s="94"/>
      <c r="F334" s="95"/>
      <c r="G334" s="96" t="s">
        <v>21</v>
      </c>
      <c r="H334" s="96"/>
      <c r="I334" s="96"/>
      <c r="J334" s="96"/>
      <c r="K334" s="96"/>
      <c r="L334" s="97">
        <v>0.03</v>
      </c>
      <c r="M334" s="96"/>
      <c r="N334" s="96"/>
      <c r="O334" s="96"/>
      <c r="P334" s="96" t="s">
        <v>22</v>
      </c>
      <c r="Q334" s="96"/>
      <c r="R334" s="96"/>
      <c r="S334" s="96"/>
      <c r="T334" s="96"/>
      <c r="U334" s="97">
        <v>0.03</v>
      </c>
      <c r="V334" s="97"/>
      <c r="W334" s="97"/>
      <c r="X334" s="97"/>
      <c r="Y334" s="96" t="s">
        <v>23</v>
      </c>
      <c r="Z334" s="96"/>
      <c r="AA334" s="96"/>
      <c r="AB334" s="96"/>
      <c r="AC334" s="96"/>
      <c r="AD334" s="97">
        <v>0.03</v>
      </c>
      <c r="AE334" s="96"/>
      <c r="AF334" s="96"/>
      <c r="AG334" s="96"/>
      <c r="AH334" s="96" t="s">
        <v>24</v>
      </c>
      <c r="AI334" s="96"/>
      <c r="AJ334" s="96"/>
      <c r="AK334" s="96"/>
      <c r="AL334" s="96"/>
      <c r="AM334" s="97">
        <v>0.03</v>
      </c>
      <c r="AN334" s="98"/>
      <c r="AO334" s="98"/>
      <c r="AP334" s="98"/>
      <c r="AQ334" s="96" t="s">
        <v>89</v>
      </c>
      <c r="AR334" s="96"/>
      <c r="AS334" s="96"/>
      <c r="AT334" s="96"/>
      <c r="AU334" s="97">
        <v>0.03</v>
      </c>
      <c r="AV334" s="96"/>
      <c r="AW334" s="96"/>
      <c r="AX334" s="96"/>
    </row>
    <row r="335" spans="1:50" ht="38.25" customHeight="1">
      <c r="A335" s="99" t="s">
        <v>196</v>
      </c>
      <c r="B335" s="99"/>
      <c r="C335" s="99"/>
      <c r="D335" s="99"/>
      <c r="E335" s="99"/>
      <c r="F335" s="99"/>
      <c r="G335" s="100">
        <f>G336+G337+G338</f>
        <v>764348669</v>
      </c>
      <c r="H335" s="100"/>
      <c r="I335" s="100"/>
      <c r="J335" s="100"/>
      <c r="K335" s="100"/>
      <c r="L335" s="101">
        <f>L336+L337+L338</f>
        <v>22930460.07</v>
      </c>
      <c r="M335" s="101"/>
      <c r="N335" s="101"/>
      <c r="O335" s="101"/>
      <c r="P335" s="100">
        <f>P336+P337+P338</f>
        <v>808682103</v>
      </c>
      <c r="Q335" s="100"/>
      <c r="R335" s="100"/>
      <c r="S335" s="100"/>
      <c r="T335" s="100"/>
      <c r="U335" s="101">
        <f>U336+U337+U338</f>
        <v>24260463.09</v>
      </c>
      <c r="V335" s="101"/>
      <c r="W335" s="101"/>
      <c r="X335" s="101"/>
      <c r="Y335" s="100">
        <f>Y336+Y337+Y338</f>
        <v>112586609</v>
      </c>
      <c r="Z335" s="100"/>
      <c r="AA335" s="100"/>
      <c r="AB335" s="100"/>
      <c r="AC335" s="100"/>
      <c r="AD335" s="101">
        <f>AD336+AD337+AD338</f>
        <v>3377598.27</v>
      </c>
      <c r="AE335" s="101"/>
      <c r="AF335" s="101"/>
      <c r="AG335" s="101"/>
      <c r="AH335" s="100">
        <f>AH336+AH337+AH338</f>
        <v>58988447</v>
      </c>
      <c r="AI335" s="100"/>
      <c r="AJ335" s="100"/>
      <c r="AK335" s="100"/>
      <c r="AL335" s="100"/>
      <c r="AM335" s="101">
        <f>AM336+AM337+AM338</f>
        <v>1769653.41</v>
      </c>
      <c r="AN335" s="101"/>
      <c r="AO335" s="101"/>
      <c r="AP335" s="101"/>
      <c r="AQ335" s="100">
        <f>AQ336+AQ337+AQ338</f>
        <v>1750005828</v>
      </c>
      <c r="AR335" s="100"/>
      <c r="AS335" s="100"/>
      <c r="AT335" s="100"/>
      <c r="AU335" s="101">
        <f>AU336+AU337+AU338</f>
        <v>52500174.84</v>
      </c>
      <c r="AV335" s="101"/>
      <c r="AW335" s="101"/>
      <c r="AX335" s="101"/>
    </row>
    <row r="336" spans="1:50" ht="22.5" customHeight="1">
      <c r="A336" s="102" t="s">
        <v>197</v>
      </c>
      <c r="B336" s="102"/>
      <c r="C336" s="102"/>
      <c r="D336" s="102"/>
      <c r="E336" s="102"/>
      <c r="F336" s="102"/>
      <c r="G336" s="110">
        <v>368132761</v>
      </c>
      <c r="H336" s="110"/>
      <c r="I336" s="110"/>
      <c r="J336" s="110"/>
      <c r="K336" s="110"/>
      <c r="L336" s="111">
        <f>G336*L334</f>
        <v>11043982.83</v>
      </c>
      <c r="M336" s="111"/>
      <c r="N336" s="111"/>
      <c r="O336" s="111"/>
      <c r="P336" s="110">
        <v>243797203</v>
      </c>
      <c r="Q336" s="110"/>
      <c r="R336" s="110"/>
      <c r="S336" s="110"/>
      <c r="T336" s="110"/>
      <c r="U336" s="111">
        <f>P336*U334</f>
        <v>7313916.09</v>
      </c>
      <c r="V336" s="111"/>
      <c r="W336" s="111"/>
      <c r="X336" s="111"/>
      <c r="Y336" s="110">
        <v>95976109</v>
      </c>
      <c r="Z336" s="110"/>
      <c r="AA336" s="110"/>
      <c r="AB336" s="110"/>
      <c r="AC336" s="110"/>
      <c r="AD336" s="111">
        <f>Y336*AD334</f>
        <v>2879283.27</v>
      </c>
      <c r="AE336" s="111"/>
      <c r="AF336" s="111"/>
      <c r="AG336" s="111"/>
      <c r="AH336" s="110">
        <v>49188447</v>
      </c>
      <c r="AI336" s="110"/>
      <c r="AJ336" s="110"/>
      <c r="AK336" s="110"/>
      <c r="AL336" s="110"/>
      <c r="AM336" s="111">
        <f>AH336*AM334</f>
        <v>1475653.41</v>
      </c>
      <c r="AN336" s="111"/>
      <c r="AO336" s="111"/>
      <c r="AP336" s="111"/>
      <c r="AQ336" s="100">
        <f>G336+P336+Y336+AH336</f>
        <v>757094520</v>
      </c>
      <c r="AR336" s="100"/>
      <c r="AS336" s="100"/>
      <c r="AT336" s="100"/>
      <c r="AU336" s="101">
        <f>L336+U336+AD336+AM336</f>
        <v>22712835.6</v>
      </c>
      <c r="AV336" s="101"/>
      <c r="AW336" s="101"/>
      <c r="AX336" s="101"/>
    </row>
    <row r="337" spans="1:50" ht="31.5" customHeight="1">
      <c r="A337" s="102" t="s">
        <v>11</v>
      </c>
      <c r="B337" s="102"/>
      <c r="C337" s="102"/>
      <c r="D337" s="102"/>
      <c r="E337" s="102"/>
      <c r="F337" s="102"/>
      <c r="G337" s="110">
        <v>192514973</v>
      </c>
      <c r="H337" s="110"/>
      <c r="I337" s="110"/>
      <c r="J337" s="110"/>
      <c r="K337" s="110"/>
      <c r="L337" s="111">
        <f>G337*L334</f>
        <v>5775449.1899999995</v>
      </c>
      <c r="M337" s="111"/>
      <c r="N337" s="111"/>
      <c r="O337" s="111"/>
      <c r="P337" s="110">
        <v>280265000</v>
      </c>
      <c r="Q337" s="110"/>
      <c r="R337" s="110"/>
      <c r="S337" s="110"/>
      <c r="T337" s="110"/>
      <c r="U337" s="111">
        <f>P337*U334</f>
        <v>8407950</v>
      </c>
      <c r="V337" s="111"/>
      <c r="W337" s="111"/>
      <c r="X337" s="111"/>
      <c r="Y337" s="110">
        <v>2300000</v>
      </c>
      <c r="Z337" s="110"/>
      <c r="AA337" s="110"/>
      <c r="AB337" s="110"/>
      <c r="AC337" s="110"/>
      <c r="AD337" s="111">
        <f>Y337*AD334</f>
        <v>69000</v>
      </c>
      <c r="AE337" s="111"/>
      <c r="AF337" s="111"/>
      <c r="AG337" s="111"/>
      <c r="AH337" s="110">
        <v>2000000</v>
      </c>
      <c r="AI337" s="110"/>
      <c r="AJ337" s="110"/>
      <c r="AK337" s="110"/>
      <c r="AL337" s="110"/>
      <c r="AM337" s="111">
        <f>AH337*AM334</f>
        <v>60000</v>
      </c>
      <c r="AN337" s="111"/>
      <c r="AO337" s="111"/>
      <c r="AP337" s="111"/>
      <c r="AQ337" s="100">
        <f>G337+P337+Y337+AH337</f>
        <v>477079973</v>
      </c>
      <c r="AR337" s="100"/>
      <c r="AS337" s="100"/>
      <c r="AT337" s="100"/>
      <c r="AU337" s="101">
        <f>L337+U337+AD337+AM337</f>
        <v>14312399.19</v>
      </c>
      <c r="AV337" s="101"/>
      <c r="AW337" s="101"/>
      <c r="AX337" s="101"/>
    </row>
    <row r="338" spans="1:50" ht="42.75" customHeight="1">
      <c r="A338" s="102" t="s">
        <v>90</v>
      </c>
      <c r="B338" s="102"/>
      <c r="C338" s="102"/>
      <c r="D338" s="102"/>
      <c r="E338" s="102"/>
      <c r="F338" s="102"/>
      <c r="G338" s="110">
        <f>90941779+112759156</f>
        <v>203700935</v>
      </c>
      <c r="H338" s="110"/>
      <c r="I338" s="110"/>
      <c r="J338" s="110"/>
      <c r="K338" s="110"/>
      <c r="L338" s="111">
        <f>G338*L334</f>
        <v>6111028.05</v>
      </c>
      <c r="M338" s="111"/>
      <c r="N338" s="111"/>
      <c r="O338" s="111"/>
      <c r="P338" s="110">
        <f>196037900+88582000</f>
        <v>284619900</v>
      </c>
      <c r="Q338" s="110"/>
      <c r="R338" s="110"/>
      <c r="S338" s="110"/>
      <c r="T338" s="110"/>
      <c r="U338" s="111">
        <f>P338*U334</f>
        <v>8538597</v>
      </c>
      <c r="V338" s="111"/>
      <c r="W338" s="111"/>
      <c r="X338" s="111"/>
      <c r="Y338" s="110">
        <f>8584500+5726000</f>
        <v>14310500</v>
      </c>
      <c r="Z338" s="110"/>
      <c r="AA338" s="110"/>
      <c r="AB338" s="110"/>
      <c r="AC338" s="110"/>
      <c r="AD338" s="111">
        <f>Y338*AD334</f>
        <v>429315</v>
      </c>
      <c r="AE338" s="111"/>
      <c r="AF338" s="111"/>
      <c r="AG338" s="111"/>
      <c r="AH338" s="110">
        <v>7800000</v>
      </c>
      <c r="AI338" s="110"/>
      <c r="AJ338" s="110"/>
      <c r="AK338" s="110"/>
      <c r="AL338" s="110"/>
      <c r="AM338" s="111">
        <f>AH338*AM334</f>
        <v>234000</v>
      </c>
      <c r="AN338" s="111"/>
      <c r="AO338" s="111"/>
      <c r="AP338" s="111"/>
      <c r="AQ338" s="100">
        <f>G338+P338+Y338+AH338+5400000</f>
        <v>515831335</v>
      </c>
      <c r="AR338" s="100"/>
      <c r="AS338" s="100"/>
      <c r="AT338" s="100"/>
      <c r="AU338" s="101">
        <f>L338+U338+AD338+AM338+162000</f>
        <v>15474940.05</v>
      </c>
      <c r="AV338" s="101"/>
      <c r="AW338" s="101"/>
      <c r="AX338" s="101"/>
    </row>
    <row r="339" spans="1:50" s="85" customFormat="1" ht="19.5" customHeight="1">
      <c r="A339" s="93" t="s">
        <v>91</v>
      </c>
      <c r="B339" s="94"/>
      <c r="C339" s="94"/>
      <c r="D339" s="94"/>
      <c r="E339" s="94"/>
      <c r="F339" s="95"/>
      <c r="G339" s="96" t="s">
        <v>21</v>
      </c>
      <c r="H339" s="96"/>
      <c r="I339" s="96"/>
      <c r="J339" s="96"/>
      <c r="K339" s="96"/>
      <c r="L339" s="97">
        <v>0.01</v>
      </c>
      <c r="M339" s="96"/>
      <c r="N339" s="96"/>
      <c r="O339" s="96"/>
      <c r="P339" s="96" t="s">
        <v>22</v>
      </c>
      <c r="Q339" s="96"/>
      <c r="R339" s="96"/>
      <c r="S339" s="96"/>
      <c r="T339" s="96"/>
      <c r="U339" s="97">
        <v>0.01</v>
      </c>
      <c r="V339" s="97"/>
      <c r="W339" s="97"/>
      <c r="X339" s="97"/>
      <c r="Y339" s="96" t="s">
        <v>23</v>
      </c>
      <c r="Z339" s="96"/>
      <c r="AA339" s="96"/>
      <c r="AB339" s="96"/>
      <c r="AC339" s="96"/>
      <c r="AD339" s="97">
        <v>0.01</v>
      </c>
      <c r="AE339" s="96"/>
      <c r="AF339" s="96"/>
      <c r="AG339" s="96"/>
      <c r="AH339" s="96" t="s">
        <v>24</v>
      </c>
      <c r="AI339" s="96"/>
      <c r="AJ339" s="96"/>
      <c r="AK339" s="96"/>
      <c r="AL339" s="96"/>
      <c r="AM339" s="97">
        <v>0.01</v>
      </c>
      <c r="AN339" s="98"/>
      <c r="AO339" s="98"/>
      <c r="AP339" s="98"/>
      <c r="AQ339" s="96" t="s">
        <v>89</v>
      </c>
      <c r="AR339" s="96"/>
      <c r="AS339" s="96"/>
      <c r="AT339" s="96"/>
      <c r="AU339" s="97">
        <v>0.01</v>
      </c>
      <c r="AV339" s="96"/>
      <c r="AW339" s="96"/>
      <c r="AX339" s="96"/>
    </row>
    <row r="340" spans="1:50" ht="38.25" customHeight="1">
      <c r="A340" s="99" t="s">
        <v>198</v>
      </c>
      <c r="B340" s="99"/>
      <c r="C340" s="99"/>
      <c r="D340" s="99"/>
      <c r="E340" s="99"/>
      <c r="F340" s="99"/>
      <c r="G340" s="100">
        <v>365436100</v>
      </c>
      <c r="H340" s="100"/>
      <c r="I340" s="100"/>
      <c r="J340" s="100"/>
      <c r="K340" s="100"/>
      <c r="L340" s="101">
        <f>0.01*G340</f>
        <v>3654361</v>
      </c>
      <c r="M340" s="101"/>
      <c r="N340" s="101"/>
      <c r="O340" s="101"/>
      <c r="P340" s="100">
        <v>148735100</v>
      </c>
      <c r="Q340" s="100"/>
      <c r="R340" s="100"/>
      <c r="S340" s="100"/>
      <c r="T340" s="100"/>
      <c r="U340" s="101">
        <f>0.01*P340</f>
        <v>1487351</v>
      </c>
      <c r="V340" s="101"/>
      <c r="W340" s="101"/>
      <c r="X340" s="101"/>
      <c r="Y340" s="100">
        <v>144195636</v>
      </c>
      <c r="Z340" s="100"/>
      <c r="AA340" s="100"/>
      <c r="AB340" s="100"/>
      <c r="AC340" s="100"/>
      <c r="AD340" s="101">
        <f>0.01*Y340</f>
        <v>1441956.36</v>
      </c>
      <c r="AE340" s="101"/>
      <c r="AF340" s="101"/>
      <c r="AG340" s="101"/>
      <c r="AH340" s="100">
        <v>47649416</v>
      </c>
      <c r="AI340" s="100"/>
      <c r="AJ340" s="100"/>
      <c r="AK340" s="100"/>
      <c r="AL340" s="100"/>
      <c r="AM340" s="101">
        <f>0.01*AH340</f>
        <v>476494.16000000003</v>
      </c>
      <c r="AN340" s="101"/>
      <c r="AO340" s="101"/>
      <c r="AP340" s="101"/>
      <c r="AQ340" s="100">
        <f>G340+P340+Y340+AH340</f>
        <v>706016252</v>
      </c>
      <c r="AR340" s="100"/>
      <c r="AS340" s="100"/>
      <c r="AT340" s="100"/>
      <c r="AU340" s="101">
        <f>L340+U340+AD340+AM340</f>
        <v>7060162.5200000005</v>
      </c>
      <c r="AV340" s="101"/>
      <c r="AW340" s="101"/>
      <c r="AX340" s="101"/>
    </row>
    <row r="341" spans="1:50" s="87" customFormat="1" ht="26.25" customHeight="1">
      <c r="A341" s="88" t="s">
        <v>199</v>
      </c>
      <c r="B341" s="88"/>
      <c r="C341" s="88"/>
      <c r="D341" s="88"/>
      <c r="E341" s="88"/>
      <c r="F341" s="88"/>
      <c r="G341" s="89">
        <f>G335+G340</f>
        <v>1129784769</v>
      </c>
      <c r="H341" s="89"/>
      <c r="I341" s="89"/>
      <c r="J341" s="89"/>
      <c r="K341" s="89"/>
      <c r="L341" s="90">
        <f>L335+L340</f>
        <v>26584821.07</v>
      </c>
      <c r="M341" s="90"/>
      <c r="N341" s="90"/>
      <c r="O341" s="90"/>
      <c r="P341" s="89">
        <f>P335+P340</f>
        <v>957417203</v>
      </c>
      <c r="Q341" s="89"/>
      <c r="R341" s="89"/>
      <c r="S341" s="89"/>
      <c r="T341" s="89"/>
      <c r="U341" s="90">
        <f>U335+U340</f>
        <v>25747814.09</v>
      </c>
      <c r="V341" s="90"/>
      <c r="W341" s="90"/>
      <c r="X341" s="90"/>
      <c r="Y341" s="89">
        <f>Y335+Y340</f>
        <v>256782245</v>
      </c>
      <c r="Z341" s="89"/>
      <c r="AA341" s="89"/>
      <c r="AB341" s="89"/>
      <c r="AC341" s="89"/>
      <c r="AD341" s="90">
        <f>AD335+AD340</f>
        <v>4819554.63</v>
      </c>
      <c r="AE341" s="90"/>
      <c r="AF341" s="90"/>
      <c r="AG341" s="90"/>
      <c r="AH341" s="89">
        <f>AH335+AH340</f>
        <v>106637863</v>
      </c>
      <c r="AI341" s="89"/>
      <c r="AJ341" s="89"/>
      <c r="AK341" s="89"/>
      <c r="AL341" s="89"/>
      <c r="AM341" s="90">
        <f>AM335+AM340</f>
        <v>2246147.57</v>
      </c>
      <c r="AN341" s="90"/>
      <c r="AO341" s="90"/>
      <c r="AP341" s="90"/>
      <c r="AQ341" s="89">
        <f>AQ335+AQ340</f>
        <v>2456022080</v>
      </c>
      <c r="AR341" s="89"/>
      <c r="AS341" s="89"/>
      <c r="AT341" s="89"/>
      <c r="AU341" s="90">
        <f>AU335+AU340</f>
        <v>59560337.36000001</v>
      </c>
      <c r="AV341" s="90"/>
      <c r="AW341" s="90"/>
      <c r="AX341" s="90"/>
    </row>
    <row r="343" spans="1:50" ht="18" customHeight="1">
      <c r="A343" s="91" t="s">
        <v>200</v>
      </c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</row>
    <row r="344" ht="8.25" customHeight="1"/>
    <row r="345" spans="1:50" ht="30.75" customHeight="1">
      <c r="A345" s="92" t="s">
        <v>201</v>
      </c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  <c r="AT345" s="92"/>
      <c r="AU345" s="92"/>
      <c r="AV345" s="92"/>
      <c r="AW345" s="92"/>
      <c r="AX345" s="92"/>
    </row>
    <row r="346" ht="15.75">
      <c r="E346" s="10" t="s">
        <v>202</v>
      </c>
    </row>
    <row r="347" ht="15.75">
      <c r="E347" s="10" t="s">
        <v>203</v>
      </c>
    </row>
    <row r="348" ht="15.75">
      <c r="E348" s="10" t="s">
        <v>204</v>
      </c>
    </row>
    <row r="349" ht="15.75">
      <c r="E349" s="10" t="s">
        <v>205</v>
      </c>
    </row>
    <row r="350" ht="15.75">
      <c r="A350" s="10" t="s">
        <v>206</v>
      </c>
    </row>
  </sheetData>
  <sheetProtection/>
  <mergeCells count="1868">
    <mergeCell ref="AF303:AI303"/>
    <mergeCell ref="AJ303:AM303"/>
    <mergeCell ref="AN303:AQ303"/>
    <mergeCell ref="AR303:AU303"/>
    <mergeCell ref="A297:J297"/>
    <mergeCell ref="K297:O297"/>
    <mergeCell ref="P297:S297"/>
    <mergeCell ref="T297:W297"/>
    <mergeCell ref="A303:J303"/>
    <mergeCell ref="K303:O303"/>
    <mergeCell ref="P303:S303"/>
    <mergeCell ref="T303:W303"/>
    <mergeCell ref="X303:AA303"/>
    <mergeCell ref="AB303:AE303"/>
    <mergeCell ref="X301:AA301"/>
    <mergeCell ref="AB301:AE301"/>
    <mergeCell ref="AF301:AI301"/>
    <mergeCell ref="AJ301:AM301"/>
    <mergeCell ref="AN301:AQ301"/>
    <mergeCell ref="AR301:AU301"/>
    <mergeCell ref="AJ305:AM305"/>
    <mergeCell ref="AN305:AQ305"/>
    <mergeCell ref="AR305:AU305"/>
    <mergeCell ref="AT168:AW168"/>
    <mergeCell ref="A34:AX34"/>
    <mergeCell ref="A6:AX6"/>
    <mergeCell ref="A301:J301"/>
    <mergeCell ref="K301:O301"/>
    <mergeCell ref="P301:S301"/>
    <mergeCell ref="T301:W301"/>
    <mergeCell ref="AN285:AQ285"/>
    <mergeCell ref="AR285:AU285"/>
    <mergeCell ref="A287:J287"/>
    <mergeCell ref="K287:O287"/>
    <mergeCell ref="P287:S287"/>
    <mergeCell ref="T287:W287"/>
    <mergeCell ref="X287:AA287"/>
    <mergeCell ref="AB287:AE287"/>
    <mergeCell ref="AN299:AQ299"/>
    <mergeCell ref="AR299:AU299"/>
    <mergeCell ref="A285:J285"/>
    <mergeCell ref="K285:O285"/>
    <mergeCell ref="P285:S285"/>
    <mergeCell ref="T285:W285"/>
    <mergeCell ref="X285:AA285"/>
    <mergeCell ref="AB285:AE285"/>
    <mergeCell ref="AF285:AI285"/>
    <mergeCell ref="AJ285:AM285"/>
    <mergeCell ref="P299:S299"/>
    <mergeCell ref="T299:W299"/>
    <mergeCell ref="X299:AA299"/>
    <mergeCell ref="AB299:AE299"/>
    <mergeCell ref="AF299:AI299"/>
    <mergeCell ref="AJ299:AM299"/>
    <mergeCell ref="AJ283:AM283"/>
    <mergeCell ref="AN283:AQ283"/>
    <mergeCell ref="AR283:AU283"/>
    <mergeCell ref="AR282:AU282"/>
    <mergeCell ref="X297:AA297"/>
    <mergeCell ref="AB297:AE297"/>
    <mergeCell ref="AF297:AI297"/>
    <mergeCell ref="AJ297:AM297"/>
    <mergeCell ref="AN297:AQ297"/>
    <mergeCell ref="AR297:AU297"/>
    <mergeCell ref="AJ281:AM281"/>
    <mergeCell ref="AN281:AQ281"/>
    <mergeCell ref="AR281:AU281"/>
    <mergeCell ref="A283:J283"/>
    <mergeCell ref="K283:O283"/>
    <mergeCell ref="P283:S283"/>
    <mergeCell ref="T283:W283"/>
    <mergeCell ref="X283:AA283"/>
    <mergeCell ref="AB283:AE283"/>
    <mergeCell ref="AF283:AI283"/>
    <mergeCell ref="AB266:AE266"/>
    <mergeCell ref="AF266:AI266"/>
    <mergeCell ref="A281:J281"/>
    <mergeCell ref="K281:O281"/>
    <mergeCell ref="P281:S281"/>
    <mergeCell ref="T281:W281"/>
    <mergeCell ref="X281:AA281"/>
    <mergeCell ref="AB281:AE281"/>
    <mergeCell ref="AF281:AI281"/>
    <mergeCell ref="AR269:AU269"/>
    <mergeCell ref="A262:AX262"/>
    <mergeCell ref="AN266:AQ266"/>
    <mergeCell ref="AR266:AU266"/>
    <mergeCell ref="A266:B266"/>
    <mergeCell ref="C266:J266"/>
    <mergeCell ref="K266:O266"/>
    <mergeCell ref="P266:S266"/>
    <mergeCell ref="T266:W266"/>
    <mergeCell ref="X266:AA266"/>
    <mergeCell ref="AR267:AU267"/>
    <mergeCell ref="A269:J269"/>
    <mergeCell ref="K269:O269"/>
    <mergeCell ref="P269:S269"/>
    <mergeCell ref="T269:W269"/>
    <mergeCell ref="X269:AA269"/>
    <mergeCell ref="AB269:AE269"/>
    <mergeCell ref="AF269:AI269"/>
    <mergeCell ref="AJ269:AM269"/>
    <mergeCell ref="AN269:AQ269"/>
    <mergeCell ref="A260:AX260"/>
    <mergeCell ref="A267:J267"/>
    <mergeCell ref="K267:O267"/>
    <mergeCell ref="P267:S267"/>
    <mergeCell ref="T267:W267"/>
    <mergeCell ref="X267:AA267"/>
    <mergeCell ref="AB267:AE267"/>
    <mergeCell ref="AF267:AI267"/>
    <mergeCell ref="AJ267:AM267"/>
    <mergeCell ref="AN267:AQ267"/>
    <mergeCell ref="AJ257:AM257"/>
    <mergeCell ref="AN257:AQ257"/>
    <mergeCell ref="AR257:AU257"/>
    <mergeCell ref="A257:J257"/>
    <mergeCell ref="AB254:AE254"/>
    <mergeCell ref="AF254:AI254"/>
    <mergeCell ref="AF247:AI247"/>
    <mergeCell ref="AJ247:AM247"/>
    <mergeCell ref="AN247:AQ247"/>
    <mergeCell ref="AR247:AU247"/>
    <mergeCell ref="K257:O257"/>
    <mergeCell ref="P257:S257"/>
    <mergeCell ref="T257:W257"/>
    <mergeCell ref="X257:AA257"/>
    <mergeCell ref="AB257:AE257"/>
    <mergeCell ref="AF257:AI257"/>
    <mergeCell ref="A247:J247"/>
    <mergeCell ref="K247:O247"/>
    <mergeCell ref="P247:S247"/>
    <mergeCell ref="T247:W247"/>
    <mergeCell ref="X247:AA247"/>
    <mergeCell ref="AB247:AE247"/>
    <mergeCell ref="A161:B161"/>
    <mergeCell ref="C161:J161"/>
    <mergeCell ref="K161:O161"/>
    <mergeCell ref="A160:B160"/>
    <mergeCell ref="C160:J160"/>
    <mergeCell ref="K160:O160"/>
    <mergeCell ref="AF245:AI245"/>
    <mergeCell ref="AJ245:AM245"/>
    <mergeCell ref="AN245:AQ245"/>
    <mergeCell ref="AR245:AU245"/>
    <mergeCell ref="A163:B163"/>
    <mergeCell ref="C163:J163"/>
    <mergeCell ref="K163:O163"/>
    <mergeCell ref="Y163:AC163"/>
    <mergeCell ref="U163:X163"/>
    <mergeCell ref="AJ243:AM243"/>
    <mergeCell ref="AN243:AQ243"/>
    <mergeCell ref="AR243:AU243"/>
    <mergeCell ref="A243:J243"/>
    <mergeCell ref="A245:J245"/>
    <mergeCell ref="K245:O245"/>
    <mergeCell ref="P245:S245"/>
    <mergeCell ref="T245:W245"/>
    <mergeCell ref="X245:AA245"/>
    <mergeCell ref="AB245:AE245"/>
    <mergeCell ref="K243:O243"/>
    <mergeCell ref="P243:S243"/>
    <mergeCell ref="T243:W243"/>
    <mergeCell ref="X243:AA243"/>
    <mergeCell ref="AB243:AE243"/>
    <mergeCell ref="AF243:AI243"/>
    <mergeCell ref="BN159:BQ159"/>
    <mergeCell ref="BR159:BU159"/>
    <mergeCell ref="AD158:AI158"/>
    <mergeCell ref="AD159:AI159"/>
    <mergeCell ref="AJ158:AO158"/>
    <mergeCell ref="AJ159:AO159"/>
    <mergeCell ref="AD163:AI163"/>
    <mergeCell ref="AJ163:AO163"/>
    <mergeCell ref="P161:T161"/>
    <mergeCell ref="U161:X161"/>
    <mergeCell ref="Y161:AC161"/>
    <mergeCell ref="Y160:AC160"/>
    <mergeCell ref="U160:X160"/>
    <mergeCell ref="BR163:BU163"/>
    <mergeCell ref="P148:T148"/>
    <mergeCell ref="P149:T149"/>
    <mergeCell ref="P150:T150"/>
    <mergeCell ref="P151:T151"/>
    <mergeCell ref="P152:T152"/>
    <mergeCell ref="P153:T153"/>
    <mergeCell ref="P154:T154"/>
    <mergeCell ref="P155:T155"/>
    <mergeCell ref="P156:T156"/>
    <mergeCell ref="A159:B159"/>
    <mergeCell ref="C159:J159"/>
    <mergeCell ref="K159:O159"/>
    <mergeCell ref="Y159:AC159"/>
    <mergeCell ref="U159:X159"/>
    <mergeCell ref="BN163:BQ163"/>
    <mergeCell ref="P159:T159"/>
    <mergeCell ref="P160:T160"/>
    <mergeCell ref="P162:T162"/>
    <mergeCell ref="P163:T163"/>
    <mergeCell ref="BR157:BU157"/>
    <mergeCell ref="A158:B158"/>
    <mergeCell ref="C158:J158"/>
    <mergeCell ref="K158:O158"/>
    <mergeCell ref="Y158:AC158"/>
    <mergeCell ref="U158:X158"/>
    <mergeCell ref="BN158:BQ158"/>
    <mergeCell ref="BR158:BU158"/>
    <mergeCell ref="P157:T157"/>
    <mergeCell ref="P158:T158"/>
    <mergeCell ref="A157:B157"/>
    <mergeCell ref="C157:J157"/>
    <mergeCell ref="K157:O157"/>
    <mergeCell ref="Y157:AC157"/>
    <mergeCell ref="U157:X157"/>
    <mergeCell ref="BN157:BQ157"/>
    <mergeCell ref="BR162:BU162"/>
    <mergeCell ref="AD160:AI160"/>
    <mergeCell ref="AD161:AI161"/>
    <mergeCell ref="AD162:AI162"/>
    <mergeCell ref="AJ160:AO160"/>
    <mergeCell ref="AJ161:AO161"/>
    <mergeCell ref="AJ162:AO162"/>
    <mergeCell ref="BN160:BQ160"/>
    <mergeCell ref="BR160:BU160"/>
    <mergeCell ref="A162:B162"/>
    <mergeCell ref="C162:J162"/>
    <mergeCell ref="K162:O162"/>
    <mergeCell ref="Y162:AC162"/>
    <mergeCell ref="U162:X162"/>
    <mergeCell ref="BN162:BQ162"/>
    <mergeCell ref="BR155:BU155"/>
    <mergeCell ref="A156:B156"/>
    <mergeCell ref="C156:J156"/>
    <mergeCell ref="K156:O156"/>
    <mergeCell ref="Y156:AC156"/>
    <mergeCell ref="U156:X156"/>
    <mergeCell ref="BN156:BQ156"/>
    <mergeCell ref="BR156:BU156"/>
    <mergeCell ref="A155:B155"/>
    <mergeCell ref="C155:J155"/>
    <mergeCell ref="K155:O155"/>
    <mergeCell ref="Y155:AC155"/>
    <mergeCell ref="U155:X155"/>
    <mergeCell ref="BN155:BQ155"/>
    <mergeCell ref="A154:B154"/>
    <mergeCell ref="C154:J154"/>
    <mergeCell ref="K154:O154"/>
    <mergeCell ref="Y154:AC154"/>
    <mergeCell ref="U154:X154"/>
    <mergeCell ref="BN154:BQ154"/>
    <mergeCell ref="K152:O152"/>
    <mergeCell ref="Y152:AC152"/>
    <mergeCell ref="U152:X152"/>
    <mergeCell ref="BN152:BQ152"/>
    <mergeCell ref="BR152:BU152"/>
    <mergeCell ref="A153:B153"/>
    <mergeCell ref="C153:J153"/>
    <mergeCell ref="K153:O153"/>
    <mergeCell ref="Y153:AC153"/>
    <mergeCell ref="U153:X153"/>
    <mergeCell ref="Y150:AC150"/>
    <mergeCell ref="U150:X150"/>
    <mergeCell ref="BN150:BQ150"/>
    <mergeCell ref="BR150:BU150"/>
    <mergeCell ref="A151:B151"/>
    <mergeCell ref="C151:J151"/>
    <mergeCell ref="K151:O151"/>
    <mergeCell ref="Y151:AC151"/>
    <mergeCell ref="U151:X151"/>
    <mergeCell ref="BN151:BQ151"/>
    <mergeCell ref="B135:I135"/>
    <mergeCell ref="J135:R135"/>
    <mergeCell ref="B136:I136"/>
    <mergeCell ref="J136:R136"/>
    <mergeCell ref="C182:J182"/>
    <mergeCell ref="A150:B150"/>
    <mergeCell ref="C150:J150"/>
    <mergeCell ref="K150:O150"/>
    <mergeCell ref="A152:B152"/>
    <mergeCell ref="C152:J152"/>
    <mergeCell ref="B131:I132"/>
    <mergeCell ref="J131:R132"/>
    <mergeCell ref="B133:I133"/>
    <mergeCell ref="J133:R133"/>
    <mergeCell ref="B134:I134"/>
    <mergeCell ref="J134:R134"/>
    <mergeCell ref="BR149:BU149"/>
    <mergeCell ref="AZ306:BF306"/>
    <mergeCell ref="AZ304:BF304"/>
    <mergeCell ref="AZ302:BF302"/>
    <mergeCell ref="AZ300:BF300"/>
    <mergeCell ref="BG306:BH306"/>
    <mergeCell ref="BR151:BU151"/>
    <mergeCell ref="BN153:BQ153"/>
    <mergeCell ref="BR153:BU153"/>
    <mergeCell ref="BR154:BU154"/>
    <mergeCell ref="BN148:BQ148"/>
    <mergeCell ref="A149:B149"/>
    <mergeCell ref="C149:J149"/>
    <mergeCell ref="K149:O149"/>
    <mergeCell ref="Y149:AC149"/>
    <mergeCell ref="U149:X149"/>
    <mergeCell ref="BN149:BQ149"/>
    <mergeCell ref="A148:J148"/>
    <mergeCell ref="AR98:AX98"/>
    <mergeCell ref="AJ99:AP99"/>
    <mergeCell ref="AR99:AX99"/>
    <mergeCell ref="AJ100:AP100"/>
    <mergeCell ref="AR100:AX100"/>
    <mergeCell ref="K148:O148"/>
    <mergeCell ref="Y148:AC148"/>
    <mergeCell ref="U148:X148"/>
    <mergeCell ref="AJ103:AP103"/>
    <mergeCell ref="AJ92:AP92"/>
    <mergeCell ref="AR92:AX92"/>
    <mergeCell ref="AJ93:AP93"/>
    <mergeCell ref="AR93:AX93"/>
    <mergeCell ref="AJ94:AP94"/>
    <mergeCell ref="AR94:AX94"/>
    <mergeCell ref="AJ95:AP95"/>
    <mergeCell ref="AR95:AX95"/>
    <mergeCell ref="AJ96:AP96"/>
    <mergeCell ref="AJ91:AP91"/>
    <mergeCell ref="AR91:AX91"/>
    <mergeCell ref="AJ101:AP101"/>
    <mergeCell ref="AR101:AX101"/>
    <mergeCell ref="AJ102:AP102"/>
    <mergeCell ref="AR102:AX102"/>
    <mergeCell ref="AR96:AX96"/>
    <mergeCell ref="AJ97:AP97"/>
    <mergeCell ref="AR97:AX97"/>
    <mergeCell ref="AJ98:AP98"/>
    <mergeCell ref="AR87:AX87"/>
    <mergeCell ref="AJ88:AP88"/>
    <mergeCell ref="AR88:AX88"/>
    <mergeCell ref="AJ89:AP89"/>
    <mergeCell ref="AR89:AX89"/>
    <mergeCell ref="AJ90:AP90"/>
    <mergeCell ref="AR90:AX90"/>
    <mergeCell ref="AO115:AU115"/>
    <mergeCell ref="AH111:AK111"/>
    <mergeCell ref="AH112:AK112"/>
    <mergeCell ref="AH113:AK113"/>
    <mergeCell ref="A165:AX165"/>
    <mergeCell ref="AJ83:AP83"/>
    <mergeCell ref="AR83:AX83"/>
    <mergeCell ref="AJ84:AP84"/>
    <mergeCell ref="AR84:AX84"/>
    <mergeCell ref="AJ85:AP85"/>
    <mergeCell ref="AJ82:AP82"/>
    <mergeCell ref="AR82:AX82"/>
    <mergeCell ref="AO111:AU111"/>
    <mergeCell ref="AO112:AU112"/>
    <mergeCell ref="AO113:AU113"/>
    <mergeCell ref="AO114:AU114"/>
    <mergeCell ref="AR85:AX85"/>
    <mergeCell ref="AJ86:AP86"/>
    <mergeCell ref="AR86:AX86"/>
    <mergeCell ref="AJ87:AP87"/>
    <mergeCell ref="AJ79:AP79"/>
    <mergeCell ref="AR79:AX79"/>
    <mergeCell ref="AJ80:AP80"/>
    <mergeCell ref="AR80:AX80"/>
    <mergeCell ref="AJ81:AP81"/>
    <mergeCell ref="AR81:AX81"/>
    <mergeCell ref="AJ76:AP76"/>
    <mergeCell ref="AR76:AX76"/>
    <mergeCell ref="AJ77:AP77"/>
    <mergeCell ref="AR77:AX77"/>
    <mergeCell ref="AJ78:AP78"/>
    <mergeCell ref="AR78:AX78"/>
    <mergeCell ref="AJ73:AP73"/>
    <mergeCell ref="AR73:AX73"/>
    <mergeCell ref="AJ74:AP74"/>
    <mergeCell ref="AR74:AX74"/>
    <mergeCell ref="AJ75:AP75"/>
    <mergeCell ref="AR75:AX75"/>
    <mergeCell ref="AJ70:AP70"/>
    <mergeCell ref="AR70:AX70"/>
    <mergeCell ref="AJ71:AP71"/>
    <mergeCell ref="AR71:AX71"/>
    <mergeCell ref="AJ72:AP72"/>
    <mergeCell ref="AR72:AX72"/>
    <mergeCell ref="AJ67:AP67"/>
    <mergeCell ref="AR67:AX67"/>
    <mergeCell ref="AJ68:AP68"/>
    <mergeCell ref="AR68:AX68"/>
    <mergeCell ref="AJ69:AP69"/>
    <mergeCell ref="AR69:AX69"/>
    <mergeCell ref="AJ64:AP64"/>
    <mergeCell ref="AR64:AX64"/>
    <mergeCell ref="AJ65:AP65"/>
    <mergeCell ref="AR65:AX65"/>
    <mergeCell ref="AJ66:AP66"/>
    <mergeCell ref="AR66:AX66"/>
    <mergeCell ref="AJ61:AP61"/>
    <mergeCell ref="AR61:AX61"/>
    <mergeCell ref="AJ62:AP62"/>
    <mergeCell ref="AR62:AX62"/>
    <mergeCell ref="AJ63:AP63"/>
    <mergeCell ref="AR63:AX63"/>
    <mergeCell ref="AJ58:AP58"/>
    <mergeCell ref="AR58:AX58"/>
    <mergeCell ref="AJ59:AP59"/>
    <mergeCell ref="AR59:AX59"/>
    <mergeCell ref="AJ60:AP60"/>
    <mergeCell ref="AR60:AX60"/>
    <mergeCell ref="AJ50:AP50"/>
    <mergeCell ref="AR50:AX50"/>
    <mergeCell ref="AJ51:AP51"/>
    <mergeCell ref="AR51:AX51"/>
    <mergeCell ref="AR56:AX56"/>
    <mergeCell ref="AJ57:AP57"/>
    <mergeCell ref="AR57:AX57"/>
    <mergeCell ref="AR45:AX45"/>
    <mergeCell ref="AJ47:AP47"/>
    <mergeCell ref="AR47:AX47"/>
    <mergeCell ref="AJ48:AP48"/>
    <mergeCell ref="AR48:AX48"/>
    <mergeCell ref="AJ49:AP49"/>
    <mergeCell ref="AR49:AX49"/>
    <mergeCell ref="C91:AH91"/>
    <mergeCell ref="C92:AH92"/>
    <mergeCell ref="C93:AH93"/>
    <mergeCell ref="AJ40:AP40"/>
    <mergeCell ref="AR40:AX40"/>
    <mergeCell ref="AJ43:AP43"/>
    <mergeCell ref="AR43:AX43"/>
    <mergeCell ref="AJ44:AP44"/>
    <mergeCell ref="AR44:AX44"/>
    <mergeCell ref="AJ45:AP45"/>
    <mergeCell ref="AJ255:AM255"/>
    <mergeCell ref="AN255:AQ255"/>
    <mergeCell ref="AR255:AU255"/>
    <mergeCell ref="C84:AH84"/>
    <mergeCell ref="C85:AH85"/>
    <mergeCell ref="C86:AH86"/>
    <mergeCell ref="C87:AH87"/>
    <mergeCell ref="C88:AH88"/>
    <mergeCell ref="C89:AH89"/>
    <mergeCell ref="C90:AH90"/>
    <mergeCell ref="C101:AH101"/>
    <mergeCell ref="C102:AH102"/>
    <mergeCell ref="A255:B255"/>
    <mergeCell ref="C255:J255"/>
    <mergeCell ref="K255:O255"/>
    <mergeCell ref="P255:S255"/>
    <mergeCell ref="T255:W255"/>
    <mergeCell ref="X255:AA255"/>
    <mergeCell ref="AB255:AE255"/>
    <mergeCell ref="AF255:AI255"/>
    <mergeCell ref="C83:AH83"/>
    <mergeCell ref="AJ52:AP52"/>
    <mergeCell ref="AR52:AX52"/>
    <mergeCell ref="AJ53:AP53"/>
    <mergeCell ref="AR53:AX53"/>
    <mergeCell ref="AJ54:AP54"/>
    <mergeCell ref="AR54:AX54"/>
    <mergeCell ref="AJ55:AP55"/>
    <mergeCell ref="AR55:AX55"/>
    <mergeCell ref="AJ56:AP56"/>
    <mergeCell ref="C77:AH77"/>
    <mergeCell ref="C78:AH78"/>
    <mergeCell ref="C79:AH79"/>
    <mergeCell ref="C80:AH80"/>
    <mergeCell ref="C81:AH81"/>
    <mergeCell ref="C82:AH82"/>
    <mergeCell ref="C71:AH71"/>
    <mergeCell ref="C72:AH72"/>
    <mergeCell ref="C73:AH73"/>
    <mergeCell ref="C74:AH74"/>
    <mergeCell ref="C75:AH75"/>
    <mergeCell ref="C76:AH76"/>
    <mergeCell ref="S135:AA135"/>
    <mergeCell ref="S136:AA136"/>
    <mergeCell ref="S137:AA137"/>
    <mergeCell ref="AB131:AJ132"/>
    <mergeCell ref="AB133:AJ133"/>
    <mergeCell ref="AB134:AJ134"/>
    <mergeCell ref="AB135:AJ135"/>
    <mergeCell ref="AB136:AJ136"/>
    <mergeCell ref="AB137:AJ137"/>
    <mergeCell ref="C51:AH51"/>
    <mergeCell ref="X22:AE22"/>
    <mergeCell ref="X23:AE23"/>
    <mergeCell ref="X24:AE24"/>
    <mergeCell ref="AR103:AX103"/>
    <mergeCell ref="B137:I137"/>
    <mergeCell ref="J137:R137"/>
    <mergeCell ref="S131:AA132"/>
    <mergeCell ref="S133:AA133"/>
    <mergeCell ref="S134:AA134"/>
    <mergeCell ref="C44:AH44"/>
    <mergeCell ref="C45:AH45"/>
    <mergeCell ref="C47:AH47"/>
    <mergeCell ref="C48:AH48"/>
    <mergeCell ref="C49:AH49"/>
    <mergeCell ref="C50:AH50"/>
    <mergeCell ref="A24:W24"/>
    <mergeCell ref="A25:W25"/>
    <mergeCell ref="A26:W26"/>
    <mergeCell ref="A27:W27"/>
    <mergeCell ref="A28:W28"/>
    <mergeCell ref="C43:AH43"/>
    <mergeCell ref="A35:AX35"/>
    <mergeCell ref="A105:AX105"/>
    <mergeCell ref="AN31:AU31"/>
    <mergeCell ref="X21:AE21"/>
    <mergeCell ref="AF21:AM21"/>
    <mergeCell ref="AN21:AU21"/>
    <mergeCell ref="A20:W21"/>
    <mergeCell ref="X20:AU20"/>
    <mergeCell ref="A22:W22"/>
    <mergeCell ref="A23:W23"/>
    <mergeCell ref="A1:AX1"/>
    <mergeCell ref="A2:AX2"/>
    <mergeCell ref="A3:AX3"/>
    <mergeCell ref="B11:AX11"/>
    <mergeCell ref="A18:AX18"/>
    <mergeCell ref="A15:AX15"/>
    <mergeCell ref="A129:AX129"/>
    <mergeCell ref="B123:I123"/>
    <mergeCell ref="B124:I124"/>
    <mergeCell ref="B125:I125"/>
    <mergeCell ref="B126:I126"/>
    <mergeCell ref="J122:P122"/>
    <mergeCell ref="J123:P123"/>
    <mergeCell ref="J124:P124"/>
    <mergeCell ref="J125:P125"/>
    <mergeCell ref="J126:P126"/>
    <mergeCell ref="AY131:BF132"/>
    <mergeCell ref="AY133:BF133"/>
    <mergeCell ref="AY134:BF134"/>
    <mergeCell ref="AM131:AU132"/>
    <mergeCell ref="AM133:AU133"/>
    <mergeCell ref="AM134:AU134"/>
    <mergeCell ref="AY135:BF135"/>
    <mergeCell ref="AY136:BF136"/>
    <mergeCell ref="AY137:BF137"/>
    <mergeCell ref="AM135:AU135"/>
    <mergeCell ref="AM136:AU136"/>
    <mergeCell ref="AM137:AU137"/>
    <mergeCell ref="X123:AD123"/>
    <mergeCell ref="X124:AD124"/>
    <mergeCell ref="X125:AD125"/>
    <mergeCell ref="X126:AD126"/>
    <mergeCell ref="AE122:AK122"/>
    <mergeCell ref="AE123:AK123"/>
    <mergeCell ref="AE124:AK124"/>
    <mergeCell ref="AE125:AK125"/>
    <mergeCell ref="AE126:AK126"/>
    <mergeCell ref="AE120:AK121"/>
    <mergeCell ref="AH114:AK114"/>
    <mergeCell ref="AH115:AK115"/>
    <mergeCell ref="AH109:AK110"/>
    <mergeCell ref="B109:I110"/>
    <mergeCell ref="B111:I111"/>
    <mergeCell ref="B112:I112"/>
    <mergeCell ref="AO109:AU110"/>
    <mergeCell ref="B122:I122"/>
    <mergeCell ref="J120:W120"/>
    <mergeCell ref="X122:AD122"/>
    <mergeCell ref="AL111:AN111"/>
    <mergeCell ref="AL112:AN112"/>
    <mergeCell ref="AL113:AN113"/>
    <mergeCell ref="AL114:AN114"/>
    <mergeCell ref="AL109:AN110"/>
    <mergeCell ref="AL115:AN115"/>
    <mergeCell ref="AV109:AX110"/>
    <mergeCell ref="AV111:AX111"/>
    <mergeCell ref="AV112:AX112"/>
    <mergeCell ref="AV113:AX113"/>
    <mergeCell ref="AV114:AX114"/>
    <mergeCell ref="AV115:AX115"/>
    <mergeCell ref="Q122:W122"/>
    <mergeCell ref="Q123:W123"/>
    <mergeCell ref="Q124:W124"/>
    <mergeCell ref="Q125:W125"/>
    <mergeCell ref="Q126:W126"/>
    <mergeCell ref="B120:I121"/>
    <mergeCell ref="V115:AA115"/>
    <mergeCell ref="R113:U113"/>
    <mergeCell ref="R114:U114"/>
    <mergeCell ref="R115:U115"/>
    <mergeCell ref="J109:U109"/>
    <mergeCell ref="J121:P121"/>
    <mergeCell ref="Q121:W121"/>
    <mergeCell ref="X120:AD121"/>
    <mergeCell ref="B114:I114"/>
    <mergeCell ref="B115:I115"/>
    <mergeCell ref="J115:M115"/>
    <mergeCell ref="N110:Q110"/>
    <mergeCell ref="N111:Q111"/>
    <mergeCell ref="N112:Q112"/>
    <mergeCell ref="N113:Q113"/>
    <mergeCell ref="N114:Q114"/>
    <mergeCell ref="N115:Q115"/>
    <mergeCell ref="C95:AH95"/>
    <mergeCell ref="C96:AH96"/>
    <mergeCell ref="C97:AH97"/>
    <mergeCell ref="C98:AH98"/>
    <mergeCell ref="C99:AH99"/>
    <mergeCell ref="B113:I113"/>
    <mergeCell ref="R110:U110"/>
    <mergeCell ref="R111:U111"/>
    <mergeCell ref="R112:U112"/>
    <mergeCell ref="V109:AA110"/>
    <mergeCell ref="C62:AH62"/>
    <mergeCell ref="C63:AH63"/>
    <mergeCell ref="C64:AH64"/>
    <mergeCell ref="C65:AH65"/>
    <mergeCell ref="C66:AH66"/>
    <mergeCell ref="C94:AH94"/>
    <mergeCell ref="C67:AH67"/>
    <mergeCell ref="C68:AH68"/>
    <mergeCell ref="C69:AH69"/>
    <mergeCell ref="C70:AH70"/>
    <mergeCell ref="C56:AH56"/>
    <mergeCell ref="C57:AH57"/>
    <mergeCell ref="C58:AH58"/>
    <mergeCell ref="C59:AH59"/>
    <mergeCell ref="C60:AH60"/>
    <mergeCell ref="C61:AH61"/>
    <mergeCell ref="AB115:AG115"/>
    <mergeCell ref="J111:M111"/>
    <mergeCell ref="J110:M110"/>
    <mergeCell ref="J112:M112"/>
    <mergeCell ref="J113:M113"/>
    <mergeCell ref="J114:M114"/>
    <mergeCell ref="V111:AA111"/>
    <mergeCell ref="V112:AA112"/>
    <mergeCell ref="V113:AA113"/>
    <mergeCell ref="V114:AA114"/>
    <mergeCell ref="AF29:AM29"/>
    <mergeCell ref="AF30:AM30"/>
    <mergeCell ref="AF31:AM31"/>
    <mergeCell ref="AJ36:AP36"/>
    <mergeCell ref="AB109:AG110"/>
    <mergeCell ref="AB111:AG111"/>
    <mergeCell ref="C52:AH52"/>
    <mergeCell ref="C53:AH53"/>
    <mergeCell ref="C54:AH54"/>
    <mergeCell ref="C55:AH55"/>
    <mergeCell ref="AN29:AU29"/>
    <mergeCell ref="AN30:AU30"/>
    <mergeCell ref="X31:AE31"/>
    <mergeCell ref="AF22:AM22"/>
    <mergeCell ref="AF23:AM23"/>
    <mergeCell ref="AF24:AM24"/>
    <mergeCell ref="AF25:AM25"/>
    <mergeCell ref="AF26:AM26"/>
    <mergeCell ref="AF27:AM27"/>
    <mergeCell ref="AF28:AM28"/>
    <mergeCell ref="A29:W29"/>
    <mergeCell ref="A30:W30"/>
    <mergeCell ref="A31:W31"/>
    <mergeCell ref="AN22:AU22"/>
    <mergeCell ref="AN23:AU23"/>
    <mergeCell ref="AN24:AU24"/>
    <mergeCell ref="AN25:AU25"/>
    <mergeCell ref="AN26:AU26"/>
    <mergeCell ref="AN27:AU27"/>
    <mergeCell ref="AN28:AU28"/>
    <mergeCell ref="X25:AE25"/>
    <mergeCell ref="X26:AE26"/>
    <mergeCell ref="X27:AE27"/>
    <mergeCell ref="X29:AE29"/>
    <mergeCell ref="X28:AE28"/>
    <mergeCell ref="X30:AE30"/>
    <mergeCell ref="C181:J181"/>
    <mergeCell ref="A169:B169"/>
    <mergeCell ref="A170:B170"/>
    <mergeCell ref="A171:B171"/>
    <mergeCell ref="A172:B172"/>
    <mergeCell ref="C100:AH100"/>
    <mergeCell ref="A143:AX143"/>
    <mergeCell ref="AB112:AG112"/>
    <mergeCell ref="AB113:AG113"/>
    <mergeCell ref="AB114:AG114"/>
    <mergeCell ref="A181:B181"/>
    <mergeCell ref="A182:B182"/>
    <mergeCell ref="C169:J169"/>
    <mergeCell ref="C170:J170"/>
    <mergeCell ref="C171:J171"/>
    <mergeCell ref="C172:J172"/>
    <mergeCell ref="C173:J173"/>
    <mergeCell ref="C174:J174"/>
    <mergeCell ref="C175:J175"/>
    <mergeCell ref="C176:J176"/>
    <mergeCell ref="P169:S169"/>
    <mergeCell ref="K169:O169"/>
    <mergeCell ref="T169:W169"/>
    <mergeCell ref="A178:B178"/>
    <mergeCell ref="A179:B179"/>
    <mergeCell ref="A180:B180"/>
    <mergeCell ref="C177:J177"/>
    <mergeCell ref="C178:J178"/>
    <mergeCell ref="C179:J179"/>
    <mergeCell ref="C180:J180"/>
    <mergeCell ref="K180:O180"/>
    <mergeCell ref="K181:O181"/>
    <mergeCell ref="K182:O182"/>
    <mergeCell ref="T180:W180"/>
    <mergeCell ref="T181:W181"/>
    <mergeCell ref="T182:W182"/>
    <mergeCell ref="AT172:AW172"/>
    <mergeCell ref="AT173:AW173"/>
    <mergeCell ref="AT174:AW174"/>
    <mergeCell ref="AB172:AF172"/>
    <mergeCell ref="AL172:AO172"/>
    <mergeCell ref="AL173:AO173"/>
    <mergeCell ref="AL174:AO174"/>
    <mergeCell ref="K177:O177"/>
    <mergeCell ref="K178:O178"/>
    <mergeCell ref="K179:O179"/>
    <mergeCell ref="A173:B173"/>
    <mergeCell ref="A174:B174"/>
    <mergeCell ref="A175:B175"/>
    <mergeCell ref="A176:B176"/>
    <mergeCell ref="A177:B177"/>
    <mergeCell ref="K167:AA167"/>
    <mergeCell ref="AB167:AW167"/>
    <mergeCell ref="A146:AX146"/>
    <mergeCell ref="T178:W178"/>
    <mergeCell ref="T179:W179"/>
    <mergeCell ref="K170:O170"/>
    <mergeCell ref="K171:O171"/>
    <mergeCell ref="K172:O172"/>
    <mergeCell ref="K173:O173"/>
    <mergeCell ref="K174:O174"/>
    <mergeCell ref="AB182:AF182"/>
    <mergeCell ref="AG169:AK169"/>
    <mergeCell ref="AG170:AK170"/>
    <mergeCell ref="AG171:AK171"/>
    <mergeCell ref="K168:O168"/>
    <mergeCell ref="P168:S168"/>
    <mergeCell ref="T168:W168"/>
    <mergeCell ref="X168:AA168"/>
    <mergeCell ref="K175:O175"/>
    <mergeCell ref="K176:O176"/>
    <mergeCell ref="AL180:AO180"/>
    <mergeCell ref="AT175:AW175"/>
    <mergeCell ref="AT176:AW176"/>
    <mergeCell ref="AT177:AW177"/>
    <mergeCell ref="AB175:AF175"/>
    <mergeCell ref="AB176:AF176"/>
    <mergeCell ref="AB177:AF177"/>
    <mergeCell ref="AL175:AO175"/>
    <mergeCell ref="AL176:AO176"/>
    <mergeCell ref="AL177:AO177"/>
    <mergeCell ref="AT181:AW181"/>
    <mergeCell ref="AT182:AW182"/>
    <mergeCell ref="AT178:AW178"/>
    <mergeCell ref="AT179:AW179"/>
    <mergeCell ref="AT180:AW180"/>
    <mergeCell ref="AB178:AF178"/>
    <mergeCell ref="AB179:AF179"/>
    <mergeCell ref="AB180:AF180"/>
    <mergeCell ref="AL178:AO178"/>
    <mergeCell ref="AL179:AO179"/>
    <mergeCell ref="AT170:AW170"/>
    <mergeCell ref="AT171:AW171"/>
    <mergeCell ref="AB169:AF169"/>
    <mergeCell ref="AB170:AF170"/>
    <mergeCell ref="AB171:AF171"/>
    <mergeCell ref="AL169:AO169"/>
    <mergeCell ref="AL170:AO170"/>
    <mergeCell ref="AL171:AO171"/>
    <mergeCell ref="AT169:AW169"/>
    <mergeCell ref="P182:S182"/>
    <mergeCell ref="T170:W170"/>
    <mergeCell ref="T171:W171"/>
    <mergeCell ref="T172:W172"/>
    <mergeCell ref="T173:W173"/>
    <mergeCell ref="T174:W174"/>
    <mergeCell ref="T175:W175"/>
    <mergeCell ref="T176:W176"/>
    <mergeCell ref="T177:W177"/>
    <mergeCell ref="P176:S176"/>
    <mergeCell ref="P177:S177"/>
    <mergeCell ref="P178:S178"/>
    <mergeCell ref="P179:S179"/>
    <mergeCell ref="P180:S180"/>
    <mergeCell ref="P181:S181"/>
    <mergeCell ref="P170:S170"/>
    <mergeCell ref="P171:S171"/>
    <mergeCell ref="P172:S172"/>
    <mergeCell ref="P173:S173"/>
    <mergeCell ref="P174:S174"/>
    <mergeCell ref="P175:S175"/>
    <mergeCell ref="X175:AA175"/>
    <mergeCell ref="X176:AA176"/>
    <mergeCell ref="X177:AA177"/>
    <mergeCell ref="X178:AA178"/>
    <mergeCell ref="X179:AA179"/>
    <mergeCell ref="AB173:AF173"/>
    <mergeCell ref="AB174:AF174"/>
    <mergeCell ref="AG182:AK182"/>
    <mergeCell ref="X181:AA181"/>
    <mergeCell ref="X182:AA182"/>
    <mergeCell ref="X180:AA180"/>
    <mergeCell ref="X169:AA169"/>
    <mergeCell ref="X170:AA170"/>
    <mergeCell ref="X171:AA171"/>
    <mergeCell ref="X172:AA172"/>
    <mergeCell ref="X173:AA173"/>
    <mergeCell ref="X174:AA174"/>
    <mergeCell ref="AP180:AS180"/>
    <mergeCell ref="AP181:AS181"/>
    <mergeCell ref="AP182:AS182"/>
    <mergeCell ref="AB181:AF181"/>
    <mergeCell ref="AG172:AK172"/>
    <mergeCell ref="AG173:AK173"/>
    <mergeCell ref="AG174:AK174"/>
    <mergeCell ref="AG175:AK175"/>
    <mergeCell ref="AG176:AK176"/>
    <mergeCell ref="AG177:AK177"/>
    <mergeCell ref="AP174:AS174"/>
    <mergeCell ref="AP175:AS175"/>
    <mergeCell ref="AP176:AS176"/>
    <mergeCell ref="AP177:AS177"/>
    <mergeCell ref="AP178:AS178"/>
    <mergeCell ref="AP179:AS179"/>
    <mergeCell ref="AP168:AS168"/>
    <mergeCell ref="AP169:AS169"/>
    <mergeCell ref="AP170:AS170"/>
    <mergeCell ref="AP171:AS171"/>
    <mergeCell ref="AP172:AS172"/>
    <mergeCell ref="AP173:AS173"/>
    <mergeCell ref="K184:W184"/>
    <mergeCell ref="AL181:AO181"/>
    <mergeCell ref="AL182:AO182"/>
    <mergeCell ref="AB168:AF168"/>
    <mergeCell ref="AG168:AK168"/>
    <mergeCell ref="AL168:AO168"/>
    <mergeCell ref="AG178:AK178"/>
    <mergeCell ref="AG179:AK179"/>
    <mergeCell ref="AG180:AK180"/>
    <mergeCell ref="AG181:AK181"/>
    <mergeCell ref="A167:J168"/>
    <mergeCell ref="A184:J185"/>
    <mergeCell ref="X184:AS184"/>
    <mergeCell ref="K185:O185"/>
    <mergeCell ref="P185:S185"/>
    <mergeCell ref="T185:W185"/>
    <mergeCell ref="X185:AB185"/>
    <mergeCell ref="AC185:AG185"/>
    <mergeCell ref="AH185:AK185"/>
    <mergeCell ref="AL185:AO185"/>
    <mergeCell ref="AL187:AO187"/>
    <mergeCell ref="AP187:AS187"/>
    <mergeCell ref="A186:B186"/>
    <mergeCell ref="C186:J186"/>
    <mergeCell ref="K186:O186"/>
    <mergeCell ref="P186:S186"/>
    <mergeCell ref="T186:W186"/>
    <mergeCell ref="X186:AB186"/>
    <mergeCell ref="AC186:AG186"/>
    <mergeCell ref="AH186:AK186"/>
    <mergeCell ref="AL186:AO186"/>
    <mergeCell ref="AP186:AS186"/>
    <mergeCell ref="A187:B187"/>
    <mergeCell ref="C187:J187"/>
    <mergeCell ref="K187:O187"/>
    <mergeCell ref="P187:S187"/>
    <mergeCell ref="T187:W187"/>
    <mergeCell ref="X187:AB187"/>
    <mergeCell ref="AC187:AG187"/>
    <mergeCell ref="AH187:AK187"/>
    <mergeCell ref="AL189:AO189"/>
    <mergeCell ref="AP189:AS189"/>
    <mergeCell ref="A188:B188"/>
    <mergeCell ref="C188:J188"/>
    <mergeCell ref="K188:O188"/>
    <mergeCell ref="P188:S188"/>
    <mergeCell ref="T188:W188"/>
    <mergeCell ref="X188:AB188"/>
    <mergeCell ref="AC188:AG188"/>
    <mergeCell ref="AH188:AK188"/>
    <mergeCell ref="AL188:AO188"/>
    <mergeCell ref="AP188:AS188"/>
    <mergeCell ref="A189:B189"/>
    <mergeCell ref="C189:J189"/>
    <mergeCell ref="K189:O189"/>
    <mergeCell ref="P189:S189"/>
    <mergeCell ref="T189:W189"/>
    <mergeCell ref="X189:AB189"/>
    <mergeCell ref="AC189:AG189"/>
    <mergeCell ref="AH189:AK189"/>
    <mergeCell ref="AL191:AO191"/>
    <mergeCell ref="AP191:AS191"/>
    <mergeCell ref="A190:B190"/>
    <mergeCell ref="C190:J190"/>
    <mergeCell ref="K190:O190"/>
    <mergeCell ref="P190:S190"/>
    <mergeCell ref="T190:W190"/>
    <mergeCell ref="X190:AB190"/>
    <mergeCell ref="AC190:AG190"/>
    <mergeCell ref="AH190:AK190"/>
    <mergeCell ref="AL190:AO190"/>
    <mergeCell ref="AP190:AS190"/>
    <mergeCell ref="A191:B191"/>
    <mergeCell ref="C191:J191"/>
    <mergeCell ref="K191:O191"/>
    <mergeCell ref="P191:S191"/>
    <mergeCell ref="T191:W191"/>
    <mergeCell ref="X191:AB191"/>
    <mergeCell ref="AC191:AG191"/>
    <mergeCell ref="AH191:AK191"/>
    <mergeCell ref="AL193:AO193"/>
    <mergeCell ref="AP193:AS193"/>
    <mergeCell ref="A192:B192"/>
    <mergeCell ref="C192:J192"/>
    <mergeCell ref="K192:O192"/>
    <mergeCell ref="P192:S192"/>
    <mergeCell ref="T192:W192"/>
    <mergeCell ref="X192:AB192"/>
    <mergeCell ref="AC192:AG192"/>
    <mergeCell ref="AH192:AK192"/>
    <mergeCell ref="AL192:AO192"/>
    <mergeCell ref="AP192:AS192"/>
    <mergeCell ref="A193:B193"/>
    <mergeCell ref="C193:J193"/>
    <mergeCell ref="K193:O193"/>
    <mergeCell ref="P193:S193"/>
    <mergeCell ref="T193:W193"/>
    <mergeCell ref="X193:AB193"/>
    <mergeCell ref="AC193:AG193"/>
    <mergeCell ref="AH193:AK193"/>
    <mergeCell ref="AL195:AO195"/>
    <mergeCell ref="AP195:AS195"/>
    <mergeCell ref="A194:B194"/>
    <mergeCell ref="C194:J194"/>
    <mergeCell ref="K194:O194"/>
    <mergeCell ref="P194:S194"/>
    <mergeCell ref="T194:W194"/>
    <mergeCell ref="X194:AB194"/>
    <mergeCell ref="AC194:AG194"/>
    <mergeCell ref="AH194:AK194"/>
    <mergeCell ref="AL194:AO194"/>
    <mergeCell ref="AP194:AS194"/>
    <mergeCell ref="A195:B195"/>
    <mergeCell ref="C195:J195"/>
    <mergeCell ref="K195:O195"/>
    <mergeCell ref="P195:S195"/>
    <mergeCell ref="T195:W195"/>
    <mergeCell ref="X195:AB195"/>
    <mergeCell ref="AC195:AG195"/>
    <mergeCell ref="AH195:AK195"/>
    <mergeCell ref="AL197:AO197"/>
    <mergeCell ref="AP197:AS197"/>
    <mergeCell ref="A196:B196"/>
    <mergeCell ref="C196:J196"/>
    <mergeCell ref="K196:O196"/>
    <mergeCell ref="P196:S196"/>
    <mergeCell ref="T196:W196"/>
    <mergeCell ref="X196:AB196"/>
    <mergeCell ref="AC196:AG196"/>
    <mergeCell ref="AH196:AK196"/>
    <mergeCell ref="AL196:AO196"/>
    <mergeCell ref="AP196:AS196"/>
    <mergeCell ref="A197:B197"/>
    <mergeCell ref="C197:J197"/>
    <mergeCell ref="K197:O197"/>
    <mergeCell ref="P197:S197"/>
    <mergeCell ref="T197:W197"/>
    <mergeCell ref="X197:AB197"/>
    <mergeCell ref="AC197:AG197"/>
    <mergeCell ref="AH197:AK197"/>
    <mergeCell ref="AP199:AS199"/>
    <mergeCell ref="A198:B198"/>
    <mergeCell ref="C198:J198"/>
    <mergeCell ref="K198:O198"/>
    <mergeCell ref="P198:S198"/>
    <mergeCell ref="T198:W198"/>
    <mergeCell ref="X198:AB198"/>
    <mergeCell ref="AC198:AG198"/>
    <mergeCell ref="AH198:AK198"/>
    <mergeCell ref="AP198:AS198"/>
    <mergeCell ref="A199:B199"/>
    <mergeCell ref="C199:J199"/>
    <mergeCell ref="K199:O199"/>
    <mergeCell ref="P199:S199"/>
    <mergeCell ref="T199:W199"/>
    <mergeCell ref="X199:AB199"/>
    <mergeCell ref="AC199:AG199"/>
    <mergeCell ref="AH199:AK199"/>
    <mergeCell ref="AL199:AO199"/>
    <mergeCell ref="C205:J205"/>
    <mergeCell ref="A206:B206"/>
    <mergeCell ref="C206:J206"/>
    <mergeCell ref="K204:O204"/>
    <mergeCell ref="T204:W204"/>
    <mergeCell ref="AL198:AO198"/>
    <mergeCell ref="A210:B210"/>
    <mergeCell ref="C210:J210"/>
    <mergeCell ref="A211:B211"/>
    <mergeCell ref="C211:J211"/>
    <mergeCell ref="A201:J202"/>
    <mergeCell ref="A203:B203"/>
    <mergeCell ref="C203:J203"/>
    <mergeCell ref="A204:B204"/>
    <mergeCell ref="C204:J204"/>
    <mergeCell ref="A205:B205"/>
    <mergeCell ref="A216:B216"/>
    <mergeCell ref="C216:J216"/>
    <mergeCell ref="A217:B217"/>
    <mergeCell ref="C217:J217"/>
    <mergeCell ref="A207:B207"/>
    <mergeCell ref="C207:J207"/>
    <mergeCell ref="A208:B208"/>
    <mergeCell ref="C208:J208"/>
    <mergeCell ref="A209:B209"/>
    <mergeCell ref="C209:J209"/>
    <mergeCell ref="A212:B212"/>
    <mergeCell ref="C212:J212"/>
    <mergeCell ref="A213:B213"/>
    <mergeCell ref="C213:J213"/>
    <mergeCell ref="A214:B214"/>
    <mergeCell ref="C214:J214"/>
    <mergeCell ref="BL203:BO203"/>
    <mergeCell ref="P202:S202"/>
    <mergeCell ref="P203:S203"/>
    <mergeCell ref="AB203:AE203"/>
    <mergeCell ref="AB202:AE202"/>
    <mergeCell ref="K201:AE201"/>
    <mergeCell ref="AB204:AE204"/>
    <mergeCell ref="AB205:AE205"/>
    <mergeCell ref="K202:O202"/>
    <mergeCell ref="T202:W202"/>
    <mergeCell ref="X202:AA202"/>
    <mergeCell ref="K203:O203"/>
    <mergeCell ref="T203:W203"/>
    <mergeCell ref="X203:AA203"/>
    <mergeCell ref="AB206:AE206"/>
    <mergeCell ref="AB207:AE207"/>
    <mergeCell ref="X204:AA204"/>
    <mergeCell ref="BL204:BO204"/>
    <mergeCell ref="K205:O205"/>
    <mergeCell ref="T205:W205"/>
    <mergeCell ref="X205:AA205"/>
    <mergeCell ref="BL205:BO205"/>
    <mergeCell ref="P204:S204"/>
    <mergeCell ref="P205:S205"/>
    <mergeCell ref="K206:O206"/>
    <mergeCell ref="T206:W206"/>
    <mergeCell ref="X206:AA206"/>
    <mergeCell ref="BL206:BO206"/>
    <mergeCell ref="K207:O207"/>
    <mergeCell ref="T207:W207"/>
    <mergeCell ref="X207:AA207"/>
    <mergeCell ref="BL207:BO207"/>
    <mergeCell ref="P206:S206"/>
    <mergeCell ref="P207:S207"/>
    <mergeCell ref="BL208:BO208"/>
    <mergeCell ref="K209:O209"/>
    <mergeCell ref="T209:W209"/>
    <mergeCell ref="X209:AA209"/>
    <mergeCell ref="BL209:BO209"/>
    <mergeCell ref="P208:S208"/>
    <mergeCell ref="P209:S209"/>
    <mergeCell ref="AB208:AE208"/>
    <mergeCell ref="AB209:AE209"/>
    <mergeCell ref="P210:S210"/>
    <mergeCell ref="P211:S211"/>
    <mergeCell ref="AB210:AE210"/>
    <mergeCell ref="AB211:AE211"/>
    <mergeCell ref="K208:O208"/>
    <mergeCell ref="T208:W208"/>
    <mergeCell ref="X208:AA208"/>
    <mergeCell ref="AB212:AE212"/>
    <mergeCell ref="AB213:AE213"/>
    <mergeCell ref="K210:O210"/>
    <mergeCell ref="T210:W210"/>
    <mergeCell ref="X210:AA210"/>
    <mergeCell ref="BL210:BO210"/>
    <mergeCell ref="K211:O211"/>
    <mergeCell ref="T211:W211"/>
    <mergeCell ref="X211:AA211"/>
    <mergeCell ref="BL211:BO211"/>
    <mergeCell ref="K212:O212"/>
    <mergeCell ref="T212:W212"/>
    <mergeCell ref="X212:AA212"/>
    <mergeCell ref="BL212:BO212"/>
    <mergeCell ref="K213:O213"/>
    <mergeCell ref="T213:W213"/>
    <mergeCell ref="X213:AA213"/>
    <mergeCell ref="BL213:BO213"/>
    <mergeCell ref="P212:S212"/>
    <mergeCell ref="P213:S213"/>
    <mergeCell ref="K216:O216"/>
    <mergeCell ref="T216:W216"/>
    <mergeCell ref="X216:AA216"/>
    <mergeCell ref="BL216:BO216"/>
    <mergeCell ref="P214:S214"/>
    <mergeCell ref="AB214:AE214"/>
    <mergeCell ref="BP204:BT204"/>
    <mergeCell ref="BU204:BY204"/>
    <mergeCell ref="BZ204:CC204"/>
    <mergeCell ref="CD204:CG204"/>
    <mergeCell ref="CH204:CK204"/>
    <mergeCell ref="BP205:BT205"/>
    <mergeCell ref="BU205:BY205"/>
    <mergeCell ref="BZ205:CC205"/>
    <mergeCell ref="CD205:CG205"/>
    <mergeCell ref="BP201:CK201"/>
    <mergeCell ref="BP202:BT202"/>
    <mergeCell ref="BU202:BY202"/>
    <mergeCell ref="BZ202:CC202"/>
    <mergeCell ref="CD202:CG202"/>
    <mergeCell ref="BP203:BT203"/>
    <mergeCell ref="BU203:BY203"/>
    <mergeCell ref="BZ203:CC203"/>
    <mergeCell ref="CD203:CG203"/>
    <mergeCell ref="CH203:CK203"/>
    <mergeCell ref="BP207:BT207"/>
    <mergeCell ref="BU207:BY207"/>
    <mergeCell ref="BZ207:CC207"/>
    <mergeCell ref="CD207:CG207"/>
    <mergeCell ref="CH207:CK207"/>
    <mergeCell ref="K217:O217"/>
    <mergeCell ref="T217:W217"/>
    <mergeCell ref="X217:AA217"/>
    <mergeCell ref="BL217:BO217"/>
    <mergeCell ref="K214:O214"/>
    <mergeCell ref="CH205:CK205"/>
    <mergeCell ref="BP206:BT206"/>
    <mergeCell ref="BU206:BY206"/>
    <mergeCell ref="BZ206:CC206"/>
    <mergeCell ref="CD206:CG206"/>
    <mergeCell ref="CH206:CK206"/>
    <mergeCell ref="BP208:BT208"/>
    <mergeCell ref="BU208:BY208"/>
    <mergeCell ref="BZ208:CC208"/>
    <mergeCell ref="CD208:CG208"/>
    <mergeCell ref="CH208:CK208"/>
    <mergeCell ref="BP209:BT209"/>
    <mergeCell ref="BU209:BY209"/>
    <mergeCell ref="BZ209:CC209"/>
    <mergeCell ref="CD209:CG209"/>
    <mergeCell ref="CH209:CK209"/>
    <mergeCell ref="BP210:BT210"/>
    <mergeCell ref="BU210:BY210"/>
    <mergeCell ref="BZ210:CC210"/>
    <mergeCell ref="CD210:CG210"/>
    <mergeCell ref="CH210:CK210"/>
    <mergeCell ref="BP211:BT211"/>
    <mergeCell ref="BU211:BY211"/>
    <mergeCell ref="BZ211:CC211"/>
    <mergeCell ref="CD211:CG211"/>
    <mergeCell ref="CH211:CK211"/>
    <mergeCell ref="BP212:BT212"/>
    <mergeCell ref="BU212:BY212"/>
    <mergeCell ref="BZ212:CC212"/>
    <mergeCell ref="CD212:CG212"/>
    <mergeCell ref="CH212:CK212"/>
    <mergeCell ref="BP213:BT213"/>
    <mergeCell ref="BU213:BY213"/>
    <mergeCell ref="BZ213:CC213"/>
    <mergeCell ref="CD213:CG213"/>
    <mergeCell ref="CH213:CK213"/>
    <mergeCell ref="BU214:BY214"/>
    <mergeCell ref="BZ214:CC214"/>
    <mergeCell ref="CD214:CG214"/>
    <mergeCell ref="CH214:CK214"/>
    <mergeCell ref="BP216:BT216"/>
    <mergeCell ref="BU216:BY216"/>
    <mergeCell ref="BZ216:CC216"/>
    <mergeCell ref="CD216:CG216"/>
    <mergeCell ref="CH216:CK216"/>
    <mergeCell ref="P216:S216"/>
    <mergeCell ref="P217:S217"/>
    <mergeCell ref="AB215:AE215"/>
    <mergeCell ref="AB216:AE216"/>
    <mergeCell ref="AB217:AE217"/>
    <mergeCell ref="BP214:BT214"/>
    <mergeCell ref="T214:W214"/>
    <mergeCell ref="X214:AA214"/>
    <mergeCell ref="BL214:BO214"/>
    <mergeCell ref="BP215:BT215"/>
    <mergeCell ref="BU215:BY215"/>
    <mergeCell ref="BZ215:CC215"/>
    <mergeCell ref="CD215:CG215"/>
    <mergeCell ref="CH215:CK215"/>
    <mergeCell ref="P215:S215"/>
    <mergeCell ref="A215:B215"/>
    <mergeCell ref="C215:J215"/>
    <mergeCell ref="K215:O215"/>
    <mergeCell ref="T215:W215"/>
    <mergeCell ref="X215:AA215"/>
    <mergeCell ref="BL215:BO215"/>
    <mergeCell ref="BZ217:CC217"/>
    <mergeCell ref="K219:AJ219"/>
    <mergeCell ref="K220:P220"/>
    <mergeCell ref="K221:P221"/>
    <mergeCell ref="CD217:CG217"/>
    <mergeCell ref="CH217:CK217"/>
    <mergeCell ref="AA220:AE220"/>
    <mergeCell ref="AA221:AE221"/>
    <mergeCell ref="AF220:AJ220"/>
    <mergeCell ref="AF221:AJ221"/>
    <mergeCell ref="BP217:BT217"/>
    <mergeCell ref="BU217:BY217"/>
    <mergeCell ref="A219:J220"/>
    <mergeCell ref="A221:B221"/>
    <mergeCell ref="C221:J221"/>
    <mergeCell ref="Q220:U220"/>
    <mergeCell ref="Q221:U221"/>
    <mergeCell ref="V220:Z220"/>
    <mergeCell ref="V221:Z221"/>
    <mergeCell ref="V222:Z222"/>
    <mergeCell ref="V223:Z223"/>
    <mergeCell ref="AA222:AE222"/>
    <mergeCell ref="AA223:AE223"/>
    <mergeCell ref="AF222:AJ222"/>
    <mergeCell ref="AF223:AJ223"/>
    <mergeCell ref="A222:B222"/>
    <mergeCell ref="C222:J222"/>
    <mergeCell ref="A223:B223"/>
    <mergeCell ref="C223:J223"/>
    <mergeCell ref="Q222:U222"/>
    <mergeCell ref="Q223:U223"/>
    <mergeCell ref="K222:P222"/>
    <mergeCell ref="K223:P223"/>
    <mergeCell ref="V224:Z224"/>
    <mergeCell ref="V225:Z225"/>
    <mergeCell ref="AA224:AE224"/>
    <mergeCell ref="AA225:AE225"/>
    <mergeCell ref="AF224:AJ224"/>
    <mergeCell ref="AF225:AJ225"/>
    <mergeCell ref="A224:B224"/>
    <mergeCell ref="C224:J224"/>
    <mergeCell ref="A225:B225"/>
    <mergeCell ref="C225:J225"/>
    <mergeCell ref="Q224:U224"/>
    <mergeCell ref="Q225:U225"/>
    <mergeCell ref="K224:P224"/>
    <mergeCell ref="K225:P225"/>
    <mergeCell ref="AA226:AE226"/>
    <mergeCell ref="AA227:AE227"/>
    <mergeCell ref="AF226:AJ226"/>
    <mergeCell ref="AF227:AJ227"/>
    <mergeCell ref="K226:P226"/>
    <mergeCell ref="K227:P227"/>
    <mergeCell ref="AF228:AJ228"/>
    <mergeCell ref="AF229:AJ229"/>
    <mergeCell ref="A226:B226"/>
    <mergeCell ref="C226:J226"/>
    <mergeCell ref="A227:B227"/>
    <mergeCell ref="C227:J227"/>
    <mergeCell ref="Q226:U226"/>
    <mergeCell ref="Q227:U227"/>
    <mergeCell ref="V226:Z226"/>
    <mergeCell ref="V227:Z227"/>
    <mergeCell ref="Q228:U228"/>
    <mergeCell ref="Q229:U229"/>
    <mergeCell ref="V228:Z228"/>
    <mergeCell ref="V229:Z229"/>
    <mergeCell ref="AA228:AE228"/>
    <mergeCell ref="AA229:AE229"/>
    <mergeCell ref="K232:P232"/>
    <mergeCell ref="K233:P233"/>
    <mergeCell ref="A228:B228"/>
    <mergeCell ref="C228:J228"/>
    <mergeCell ref="A229:B229"/>
    <mergeCell ref="C229:J229"/>
    <mergeCell ref="K228:P228"/>
    <mergeCell ref="K229:P229"/>
    <mergeCell ref="V230:Z230"/>
    <mergeCell ref="V231:Z231"/>
    <mergeCell ref="AA230:AE230"/>
    <mergeCell ref="AA231:AE231"/>
    <mergeCell ref="AF230:AJ230"/>
    <mergeCell ref="AF231:AJ231"/>
    <mergeCell ref="A230:B230"/>
    <mergeCell ref="C230:J230"/>
    <mergeCell ref="A231:B231"/>
    <mergeCell ref="C231:J231"/>
    <mergeCell ref="Q230:U230"/>
    <mergeCell ref="Q231:U231"/>
    <mergeCell ref="K230:P230"/>
    <mergeCell ref="K231:P231"/>
    <mergeCell ref="Q233:U233"/>
    <mergeCell ref="V232:Z232"/>
    <mergeCell ref="V233:Z233"/>
    <mergeCell ref="AA232:AE232"/>
    <mergeCell ref="AA233:AE233"/>
    <mergeCell ref="AF232:AJ232"/>
    <mergeCell ref="AF233:AJ233"/>
    <mergeCell ref="AA235:AE235"/>
    <mergeCell ref="AF234:AJ234"/>
    <mergeCell ref="AF235:AJ235"/>
    <mergeCell ref="K234:P234"/>
    <mergeCell ref="K235:P235"/>
    <mergeCell ref="A232:B232"/>
    <mergeCell ref="C232:J232"/>
    <mergeCell ref="A233:B233"/>
    <mergeCell ref="C233:J233"/>
    <mergeCell ref="Q232:U232"/>
    <mergeCell ref="K240:AU240"/>
    <mergeCell ref="A234:B234"/>
    <mergeCell ref="C234:J234"/>
    <mergeCell ref="A235:B235"/>
    <mergeCell ref="C235:J235"/>
    <mergeCell ref="Q234:U234"/>
    <mergeCell ref="Q235:U235"/>
    <mergeCell ref="V234:Z234"/>
    <mergeCell ref="V235:Z235"/>
    <mergeCell ref="AA234:AE234"/>
    <mergeCell ref="T256:W256"/>
    <mergeCell ref="X256:AA256"/>
    <mergeCell ref="AB256:AE256"/>
    <mergeCell ref="P253:S253"/>
    <mergeCell ref="T253:W253"/>
    <mergeCell ref="X253:AA253"/>
    <mergeCell ref="AB253:AE253"/>
    <mergeCell ref="AB258:AE258"/>
    <mergeCell ref="AF258:AI258"/>
    <mergeCell ref="A254:B254"/>
    <mergeCell ref="C254:J254"/>
    <mergeCell ref="K254:O254"/>
    <mergeCell ref="K253:O253"/>
    <mergeCell ref="A256:B256"/>
    <mergeCell ref="C256:J256"/>
    <mergeCell ref="K256:O256"/>
    <mergeCell ref="P256:S256"/>
    <mergeCell ref="A258:B258"/>
    <mergeCell ref="C258:J258"/>
    <mergeCell ref="K258:O258"/>
    <mergeCell ref="P258:S258"/>
    <mergeCell ref="T258:W258"/>
    <mergeCell ref="X258:AA258"/>
    <mergeCell ref="P244:S244"/>
    <mergeCell ref="T244:W244"/>
    <mergeCell ref="X244:AA244"/>
    <mergeCell ref="AB244:AE244"/>
    <mergeCell ref="AF244:AI244"/>
    <mergeCell ref="A240:J241"/>
    <mergeCell ref="K241:O241"/>
    <mergeCell ref="A242:B242"/>
    <mergeCell ref="C242:J242"/>
    <mergeCell ref="K242:O242"/>
    <mergeCell ref="A246:B246"/>
    <mergeCell ref="C246:J246"/>
    <mergeCell ref="K246:O246"/>
    <mergeCell ref="A244:B244"/>
    <mergeCell ref="C244:J244"/>
    <mergeCell ref="K244:O244"/>
    <mergeCell ref="AR241:AU241"/>
    <mergeCell ref="P242:S242"/>
    <mergeCell ref="T242:W242"/>
    <mergeCell ref="X242:AA242"/>
    <mergeCell ref="AB242:AE242"/>
    <mergeCell ref="AF242:AI242"/>
    <mergeCell ref="AJ242:AM242"/>
    <mergeCell ref="AN242:AQ242"/>
    <mergeCell ref="AR242:AU242"/>
    <mergeCell ref="P241:S241"/>
    <mergeCell ref="T241:W241"/>
    <mergeCell ref="X241:AA241"/>
    <mergeCell ref="AB241:AE241"/>
    <mergeCell ref="AF241:AI241"/>
    <mergeCell ref="AJ241:AM241"/>
    <mergeCell ref="AN241:AQ241"/>
    <mergeCell ref="T248:W248"/>
    <mergeCell ref="X248:AA248"/>
    <mergeCell ref="AB248:AE248"/>
    <mergeCell ref="AF248:AI248"/>
    <mergeCell ref="P254:S254"/>
    <mergeCell ref="T254:W254"/>
    <mergeCell ref="X254:AA254"/>
    <mergeCell ref="AF253:AI253"/>
    <mergeCell ref="K252:AU252"/>
    <mergeCell ref="AJ253:AM253"/>
    <mergeCell ref="AJ246:AM246"/>
    <mergeCell ref="AN246:AQ246"/>
    <mergeCell ref="AR246:AU246"/>
    <mergeCell ref="P246:S246"/>
    <mergeCell ref="T246:W246"/>
    <mergeCell ref="X246:AA246"/>
    <mergeCell ref="AB246:AE246"/>
    <mergeCell ref="AF246:AI246"/>
    <mergeCell ref="A248:O248"/>
    <mergeCell ref="A252:J253"/>
    <mergeCell ref="AJ258:AM258"/>
    <mergeCell ref="AN258:AQ258"/>
    <mergeCell ref="AR258:AU258"/>
    <mergeCell ref="AF256:AI256"/>
    <mergeCell ref="AJ256:AM256"/>
    <mergeCell ref="AN256:AQ256"/>
    <mergeCell ref="AR256:AU256"/>
    <mergeCell ref="P248:S248"/>
    <mergeCell ref="AJ254:AM254"/>
    <mergeCell ref="AN254:AQ254"/>
    <mergeCell ref="AR254:AU254"/>
    <mergeCell ref="AJ248:AM248"/>
    <mergeCell ref="AN248:AQ248"/>
    <mergeCell ref="AR248:AU248"/>
    <mergeCell ref="AN253:AQ253"/>
    <mergeCell ref="AR253:AU253"/>
    <mergeCell ref="A259:O259"/>
    <mergeCell ref="P259:S259"/>
    <mergeCell ref="T259:W259"/>
    <mergeCell ref="X259:AA259"/>
    <mergeCell ref="AB259:AE259"/>
    <mergeCell ref="AF259:AI259"/>
    <mergeCell ref="A264:J265"/>
    <mergeCell ref="K264:AU264"/>
    <mergeCell ref="K265:O265"/>
    <mergeCell ref="P265:S265"/>
    <mergeCell ref="T265:W265"/>
    <mergeCell ref="X265:AA265"/>
    <mergeCell ref="AB265:AE265"/>
    <mergeCell ref="AF265:AI265"/>
    <mergeCell ref="AJ265:AM265"/>
    <mergeCell ref="AN265:AQ265"/>
    <mergeCell ref="AN271:AQ271"/>
    <mergeCell ref="AR271:AU271"/>
    <mergeCell ref="AJ266:AM266"/>
    <mergeCell ref="AR244:AU244"/>
    <mergeCell ref="AN244:AQ244"/>
    <mergeCell ref="AJ244:AM244"/>
    <mergeCell ref="AR265:AU265"/>
    <mergeCell ref="AJ259:AM259"/>
    <mergeCell ref="AN259:AQ259"/>
    <mergeCell ref="AR259:AU259"/>
    <mergeCell ref="AF270:AI270"/>
    <mergeCell ref="AJ270:AM270"/>
    <mergeCell ref="A271:J271"/>
    <mergeCell ref="K271:O271"/>
    <mergeCell ref="P271:S271"/>
    <mergeCell ref="T271:W271"/>
    <mergeCell ref="X271:AA271"/>
    <mergeCell ref="AB271:AE271"/>
    <mergeCell ref="AF271:AI271"/>
    <mergeCell ref="AJ271:AM271"/>
    <mergeCell ref="AJ272:AM272"/>
    <mergeCell ref="AN272:AQ272"/>
    <mergeCell ref="AR272:AU272"/>
    <mergeCell ref="A270:B270"/>
    <mergeCell ref="C270:J270"/>
    <mergeCell ref="K270:O270"/>
    <mergeCell ref="P270:S270"/>
    <mergeCell ref="T270:W270"/>
    <mergeCell ref="X270:AA270"/>
    <mergeCell ref="AB270:AE270"/>
    <mergeCell ref="AB278:AE278"/>
    <mergeCell ref="AF278:AI278"/>
    <mergeCell ref="AN270:AQ270"/>
    <mergeCell ref="AR270:AU270"/>
    <mergeCell ref="A272:O272"/>
    <mergeCell ref="P272:S272"/>
    <mergeCell ref="T272:W272"/>
    <mergeCell ref="X272:AA272"/>
    <mergeCell ref="AB272:AE272"/>
    <mergeCell ref="AF272:AI272"/>
    <mergeCell ref="A278:B278"/>
    <mergeCell ref="C278:J278"/>
    <mergeCell ref="K278:O278"/>
    <mergeCell ref="P278:S278"/>
    <mergeCell ref="T278:W278"/>
    <mergeCell ref="X278:AA278"/>
    <mergeCell ref="AF279:AI279"/>
    <mergeCell ref="AJ279:AM279"/>
    <mergeCell ref="AN279:AQ279"/>
    <mergeCell ref="AR279:AU279"/>
    <mergeCell ref="AN278:AQ278"/>
    <mergeCell ref="AR278:AU278"/>
    <mergeCell ref="AF277:AI277"/>
    <mergeCell ref="AJ277:AM277"/>
    <mergeCell ref="AN277:AQ277"/>
    <mergeCell ref="AR277:AU277"/>
    <mergeCell ref="A279:J279"/>
    <mergeCell ref="K279:O279"/>
    <mergeCell ref="P279:S279"/>
    <mergeCell ref="T279:W279"/>
    <mergeCell ref="X279:AA279"/>
    <mergeCell ref="AB279:AE279"/>
    <mergeCell ref="AJ282:AM282"/>
    <mergeCell ref="AN282:AQ282"/>
    <mergeCell ref="AJ278:AM278"/>
    <mergeCell ref="A276:J277"/>
    <mergeCell ref="K276:AU276"/>
    <mergeCell ref="K277:O277"/>
    <mergeCell ref="P277:S277"/>
    <mergeCell ref="T277:W277"/>
    <mergeCell ref="X277:AA277"/>
    <mergeCell ref="AB277:AE277"/>
    <mergeCell ref="AN280:AQ280"/>
    <mergeCell ref="AR280:AU280"/>
    <mergeCell ref="A282:B282"/>
    <mergeCell ref="C282:J282"/>
    <mergeCell ref="K282:O282"/>
    <mergeCell ref="P282:S282"/>
    <mergeCell ref="T282:W282"/>
    <mergeCell ref="X282:AA282"/>
    <mergeCell ref="AB282:AE282"/>
    <mergeCell ref="AF282:AI282"/>
    <mergeCell ref="AR286:AU286"/>
    <mergeCell ref="A280:B280"/>
    <mergeCell ref="C280:J280"/>
    <mergeCell ref="K280:O280"/>
    <mergeCell ref="P280:S280"/>
    <mergeCell ref="T280:W280"/>
    <mergeCell ref="X280:AA280"/>
    <mergeCell ref="AB280:AE280"/>
    <mergeCell ref="AF280:AI280"/>
    <mergeCell ref="AJ280:AM280"/>
    <mergeCell ref="C286:J286"/>
    <mergeCell ref="K286:O286"/>
    <mergeCell ref="P286:S286"/>
    <mergeCell ref="T286:W286"/>
    <mergeCell ref="X286:AA286"/>
    <mergeCell ref="AB286:AE286"/>
    <mergeCell ref="AR293:AU293"/>
    <mergeCell ref="AN284:AQ284"/>
    <mergeCell ref="AR284:AU284"/>
    <mergeCell ref="A288:O288"/>
    <mergeCell ref="P288:S288"/>
    <mergeCell ref="T288:W288"/>
    <mergeCell ref="X288:AA288"/>
    <mergeCell ref="AB288:AE288"/>
    <mergeCell ref="AF288:AI288"/>
    <mergeCell ref="A286:B286"/>
    <mergeCell ref="AR295:AU295"/>
    <mergeCell ref="A292:J293"/>
    <mergeCell ref="K292:AU292"/>
    <mergeCell ref="K293:O293"/>
    <mergeCell ref="P293:S293"/>
    <mergeCell ref="T293:W293"/>
    <mergeCell ref="X293:AA293"/>
    <mergeCell ref="AB293:AE293"/>
    <mergeCell ref="AF293:AI293"/>
    <mergeCell ref="AJ293:AM293"/>
    <mergeCell ref="AB284:AE284"/>
    <mergeCell ref="AF284:AI284"/>
    <mergeCell ref="AJ284:AM284"/>
    <mergeCell ref="AF295:AI295"/>
    <mergeCell ref="AJ295:AM295"/>
    <mergeCell ref="AN295:AQ295"/>
    <mergeCell ref="AN293:AQ293"/>
    <mergeCell ref="AF286:AI286"/>
    <mergeCell ref="AJ286:AM286"/>
    <mergeCell ref="AN286:AQ286"/>
    <mergeCell ref="A284:B284"/>
    <mergeCell ref="C284:J284"/>
    <mergeCell ref="K284:O284"/>
    <mergeCell ref="P284:S284"/>
    <mergeCell ref="T284:W284"/>
    <mergeCell ref="X284:AA284"/>
    <mergeCell ref="AF296:AI296"/>
    <mergeCell ref="AJ296:AM296"/>
    <mergeCell ref="AN296:AQ296"/>
    <mergeCell ref="AR296:AU296"/>
    <mergeCell ref="A294:B294"/>
    <mergeCell ref="C294:J294"/>
    <mergeCell ref="K294:O294"/>
    <mergeCell ref="P294:S294"/>
    <mergeCell ref="T294:W294"/>
    <mergeCell ref="X294:AA294"/>
    <mergeCell ref="A296:B296"/>
    <mergeCell ref="C296:J296"/>
    <mergeCell ref="K296:O296"/>
    <mergeCell ref="P296:S296"/>
    <mergeCell ref="T296:W296"/>
    <mergeCell ref="X296:AA296"/>
    <mergeCell ref="AJ287:AM287"/>
    <mergeCell ref="AN287:AQ287"/>
    <mergeCell ref="AR287:AU287"/>
    <mergeCell ref="X298:AA298"/>
    <mergeCell ref="AB298:AE298"/>
    <mergeCell ref="AF298:AI298"/>
    <mergeCell ref="AJ298:AM298"/>
    <mergeCell ref="AN294:AQ294"/>
    <mergeCell ref="AR294:AU294"/>
    <mergeCell ref="AB296:AE296"/>
    <mergeCell ref="AB304:AE304"/>
    <mergeCell ref="AF304:AI304"/>
    <mergeCell ref="AJ304:AM304"/>
    <mergeCell ref="A305:J305"/>
    <mergeCell ref="K305:O305"/>
    <mergeCell ref="P305:S305"/>
    <mergeCell ref="T305:W305"/>
    <mergeCell ref="X305:AA305"/>
    <mergeCell ref="AB305:AE305"/>
    <mergeCell ref="AF305:AI305"/>
    <mergeCell ref="A304:B304"/>
    <mergeCell ref="C304:J304"/>
    <mergeCell ref="K304:O304"/>
    <mergeCell ref="P304:S304"/>
    <mergeCell ref="T304:W304"/>
    <mergeCell ref="X304:AA304"/>
    <mergeCell ref="AJ294:AM294"/>
    <mergeCell ref="A295:J295"/>
    <mergeCell ref="K295:O295"/>
    <mergeCell ref="P295:S295"/>
    <mergeCell ref="T295:W295"/>
    <mergeCell ref="X295:AA295"/>
    <mergeCell ref="AB295:AE295"/>
    <mergeCell ref="AB294:AE294"/>
    <mergeCell ref="AF294:AI294"/>
    <mergeCell ref="AJ300:AM300"/>
    <mergeCell ref="AN300:AQ300"/>
    <mergeCell ref="AR300:AU300"/>
    <mergeCell ref="A298:B298"/>
    <mergeCell ref="C298:J298"/>
    <mergeCell ref="K298:O298"/>
    <mergeCell ref="P298:S298"/>
    <mergeCell ref="T298:W298"/>
    <mergeCell ref="A299:J299"/>
    <mergeCell ref="K299:O299"/>
    <mergeCell ref="AN298:AQ298"/>
    <mergeCell ref="AR298:AU298"/>
    <mergeCell ref="A300:B300"/>
    <mergeCell ref="C300:J300"/>
    <mergeCell ref="K300:O300"/>
    <mergeCell ref="P300:S300"/>
    <mergeCell ref="T300:W300"/>
    <mergeCell ref="X300:AA300"/>
    <mergeCell ref="AB300:AE300"/>
    <mergeCell ref="AF300:AI300"/>
    <mergeCell ref="AN304:AQ304"/>
    <mergeCell ref="AR304:AU304"/>
    <mergeCell ref="A306:O306"/>
    <mergeCell ref="P306:S306"/>
    <mergeCell ref="T306:W306"/>
    <mergeCell ref="X306:AA306"/>
    <mergeCell ref="AB306:AE306"/>
    <mergeCell ref="AF306:AI306"/>
    <mergeCell ref="AJ306:AM306"/>
    <mergeCell ref="AN306:AQ306"/>
    <mergeCell ref="P302:S302"/>
    <mergeCell ref="T302:W302"/>
    <mergeCell ref="X302:AA302"/>
    <mergeCell ref="AB302:AE302"/>
    <mergeCell ref="AF302:AI302"/>
    <mergeCell ref="AJ302:AM302"/>
    <mergeCell ref="AB268:AE268"/>
    <mergeCell ref="AF268:AI268"/>
    <mergeCell ref="AJ268:AM268"/>
    <mergeCell ref="AN268:AQ268"/>
    <mergeCell ref="AR268:AU268"/>
    <mergeCell ref="A290:AX290"/>
    <mergeCell ref="AJ288:AM288"/>
    <mergeCell ref="AN288:AQ288"/>
    <mergeCell ref="AR288:AU288"/>
    <mergeCell ref="AF287:AI287"/>
    <mergeCell ref="R331:T331"/>
    <mergeCell ref="L329:N329"/>
    <mergeCell ref="L330:N330"/>
    <mergeCell ref="AR306:AU306"/>
    <mergeCell ref="A268:B268"/>
    <mergeCell ref="C268:J268"/>
    <mergeCell ref="K268:O268"/>
    <mergeCell ref="P268:S268"/>
    <mergeCell ref="T268:W268"/>
    <mergeCell ref="X268:AA268"/>
    <mergeCell ref="AR333:AU333"/>
    <mergeCell ref="AN329:AQ329"/>
    <mergeCell ref="AN330:AQ330"/>
    <mergeCell ref="AN331:AQ331"/>
    <mergeCell ref="AN332:AQ332"/>
    <mergeCell ref="AN333:AQ333"/>
    <mergeCell ref="AV331:AX331"/>
    <mergeCell ref="AV332:AX332"/>
    <mergeCell ref="AV333:AX333"/>
    <mergeCell ref="AR328:AU328"/>
    <mergeCell ref="AN328:AQ328"/>
    <mergeCell ref="AJ328:AM328"/>
    <mergeCell ref="AR329:AU329"/>
    <mergeCell ref="AR330:AU330"/>
    <mergeCell ref="AR331:AU331"/>
    <mergeCell ref="AR332:AU332"/>
    <mergeCell ref="A302:B302"/>
    <mergeCell ref="C302:J302"/>
    <mergeCell ref="A325:AX325"/>
    <mergeCell ref="AV328:AX328"/>
    <mergeCell ref="AV329:AX329"/>
    <mergeCell ref="AV330:AX330"/>
    <mergeCell ref="AJ327:AX327"/>
    <mergeCell ref="L327:T327"/>
    <mergeCell ref="R329:T329"/>
    <mergeCell ref="R330:T330"/>
    <mergeCell ref="U331:X331"/>
    <mergeCell ref="Y331:AB331"/>
    <mergeCell ref="AC331:AF331"/>
    <mergeCell ref="AG331:AI331"/>
    <mergeCell ref="AN302:AQ302"/>
    <mergeCell ref="AR302:AU302"/>
    <mergeCell ref="A314:AX314"/>
    <mergeCell ref="A308:AX308"/>
    <mergeCell ref="K310:T310"/>
    <mergeCell ref="K302:O302"/>
    <mergeCell ref="U329:X329"/>
    <mergeCell ref="Y329:AB329"/>
    <mergeCell ref="AC329:AF329"/>
    <mergeCell ref="AG329:AI329"/>
    <mergeCell ref="U330:X330"/>
    <mergeCell ref="Y330:AB330"/>
    <mergeCell ref="AC330:AF330"/>
    <mergeCell ref="AG330:AI330"/>
    <mergeCell ref="AJ329:AM329"/>
    <mergeCell ref="AJ330:AM330"/>
    <mergeCell ref="AJ331:AM331"/>
    <mergeCell ref="AJ332:AM332"/>
    <mergeCell ref="AJ333:AM333"/>
    <mergeCell ref="U327:AI327"/>
    <mergeCell ref="U328:X328"/>
    <mergeCell ref="Y328:AB328"/>
    <mergeCell ref="AC328:AF328"/>
    <mergeCell ref="AG328:AI328"/>
    <mergeCell ref="L333:N333"/>
    <mergeCell ref="AG332:AI332"/>
    <mergeCell ref="U333:X333"/>
    <mergeCell ref="Y333:AB333"/>
    <mergeCell ref="AC333:AF333"/>
    <mergeCell ref="AG333:AI333"/>
    <mergeCell ref="R328:T328"/>
    <mergeCell ref="O328:Q328"/>
    <mergeCell ref="L328:N328"/>
    <mergeCell ref="AD334:AG334"/>
    <mergeCell ref="AD336:AG336"/>
    <mergeCell ref="L331:N331"/>
    <mergeCell ref="U332:X332"/>
    <mergeCell ref="Y332:AB332"/>
    <mergeCell ref="AC332:AF332"/>
    <mergeCell ref="L332:N332"/>
    <mergeCell ref="H331:K331"/>
    <mergeCell ref="H332:K332"/>
    <mergeCell ref="H333:K333"/>
    <mergeCell ref="R332:T332"/>
    <mergeCell ref="R333:T333"/>
    <mergeCell ref="O329:Q329"/>
    <mergeCell ref="O330:Q330"/>
    <mergeCell ref="O331:Q331"/>
    <mergeCell ref="O332:Q332"/>
    <mergeCell ref="O333:Q333"/>
    <mergeCell ref="A327:G328"/>
    <mergeCell ref="A333:G333"/>
    <mergeCell ref="L334:O334"/>
    <mergeCell ref="L336:O336"/>
    <mergeCell ref="AM334:AP334"/>
    <mergeCell ref="AQ334:AT334"/>
    <mergeCell ref="AM336:AP336"/>
    <mergeCell ref="AQ336:AT336"/>
    <mergeCell ref="A334:F334"/>
    <mergeCell ref="A336:F336"/>
    <mergeCell ref="AH338:AL338"/>
    <mergeCell ref="AH334:AL334"/>
    <mergeCell ref="AH335:AL335"/>
    <mergeCell ref="AH336:AL336"/>
    <mergeCell ref="AH337:AL337"/>
    <mergeCell ref="H327:K328"/>
    <mergeCell ref="P338:T338"/>
    <mergeCell ref="P335:T335"/>
    <mergeCell ref="H329:K329"/>
    <mergeCell ref="H330:K330"/>
    <mergeCell ref="AD338:AG338"/>
    <mergeCell ref="AD335:AG335"/>
    <mergeCell ref="P334:T334"/>
    <mergeCell ref="P336:T336"/>
    <mergeCell ref="P337:T337"/>
    <mergeCell ref="L337:O337"/>
    <mergeCell ref="L338:O338"/>
    <mergeCell ref="AJ157:AO157"/>
    <mergeCell ref="AQ335:AT335"/>
    <mergeCell ref="AU334:AX334"/>
    <mergeCell ref="AU336:AX336"/>
    <mergeCell ref="AU337:AX337"/>
    <mergeCell ref="AU338:AX338"/>
    <mergeCell ref="AU335:AX335"/>
    <mergeCell ref="AM337:AP337"/>
    <mergeCell ref="AQ337:AT337"/>
    <mergeCell ref="AM338:AP338"/>
    <mergeCell ref="AJ151:AO151"/>
    <mergeCell ref="AJ152:AO152"/>
    <mergeCell ref="AJ153:AO153"/>
    <mergeCell ref="AJ154:AO154"/>
    <mergeCell ref="AJ155:AO155"/>
    <mergeCell ref="AJ156:AO156"/>
    <mergeCell ref="AD152:AI152"/>
    <mergeCell ref="AD153:AI153"/>
    <mergeCell ref="AD154:AI154"/>
    <mergeCell ref="AD155:AI155"/>
    <mergeCell ref="AD156:AI156"/>
    <mergeCell ref="AD157:AI157"/>
    <mergeCell ref="AY31:BF31"/>
    <mergeCell ref="AZ30:BF30"/>
    <mergeCell ref="AZ32:BF32"/>
    <mergeCell ref="AD148:AI148"/>
    <mergeCell ref="AD149:AI149"/>
    <mergeCell ref="AD150:AI150"/>
    <mergeCell ref="AJ148:AO148"/>
    <mergeCell ref="AJ149:AO149"/>
    <mergeCell ref="AJ150:AO150"/>
    <mergeCell ref="AR36:AX36"/>
    <mergeCell ref="Y334:AC334"/>
    <mergeCell ref="Y335:AC335"/>
    <mergeCell ref="Y336:AC336"/>
    <mergeCell ref="Y337:AC337"/>
    <mergeCell ref="Y338:AC338"/>
    <mergeCell ref="B12:AX12"/>
    <mergeCell ref="B13:AX13"/>
    <mergeCell ref="AJ38:AP38"/>
    <mergeCell ref="AR38:AX38"/>
    <mergeCell ref="AD151:AI151"/>
    <mergeCell ref="A316:AX316"/>
    <mergeCell ref="G334:K334"/>
    <mergeCell ref="G335:K335"/>
    <mergeCell ref="G336:K336"/>
    <mergeCell ref="G337:K337"/>
    <mergeCell ref="G338:K338"/>
    <mergeCell ref="U334:X334"/>
    <mergeCell ref="U335:X335"/>
    <mergeCell ref="U336:X336"/>
    <mergeCell ref="U337:X337"/>
    <mergeCell ref="AU340:AX340"/>
    <mergeCell ref="U310:AA310"/>
    <mergeCell ref="AB310:AI310"/>
    <mergeCell ref="AJ310:AP310"/>
    <mergeCell ref="B310:J310"/>
    <mergeCell ref="B311:J311"/>
    <mergeCell ref="K311:T311"/>
    <mergeCell ref="U311:AA311"/>
    <mergeCell ref="AB311:AI311"/>
    <mergeCell ref="AJ311:AP311"/>
    <mergeCell ref="A335:F335"/>
    <mergeCell ref="A337:F337"/>
    <mergeCell ref="A338:F338"/>
    <mergeCell ref="AM335:AP335"/>
    <mergeCell ref="AM340:AP340"/>
    <mergeCell ref="AQ340:AT340"/>
    <mergeCell ref="U338:X338"/>
    <mergeCell ref="AQ338:AT338"/>
    <mergeCell ref="L335:O335"/>
    <mergeCell ref="AD337:AG337"/>
    <mergeCell ref="AQ339:AT339"/>
    <mergeCell ref="AU339:AX339"/>
    <mergeCell ref="A340:F340"/>
    <mergeCell ref="G340:K340"/>
    <mergeCell ref="L340:O340"/>
    <mergeCell ref="P340:T340"/>
    <mergeCell ref="U340:X340"/>
    <mergeCell ref="Y340:AC340"/>
    <mergeCell ref="AD340:AG340"/>
    <mergeCell ref="AH340:AL340"/>
    <mergeCell ref="A345:AX345"/>
    <mergeCell ref="A339:F339"/>
    <mergeCell ref="G339:K339"/>
    <mergeCell ref="L339:O339"/>
    <mergeCell ref="P339:T339"/>
    <mergeCell ref="U339:X339"/>
    <mergeCell ref="Y339:AC339"/>
    <mergeCell ref="AD339:AG339"/>
    <mergeCell ref="AH339:AL339"/>
    <mergeCell ref="AM339:AP339"/>
    <mergeCell ref="AD341:AG341"/>
    <mergeCell ref="AH341:AL341"/>
    <mergeCell ref="AM341:AP341"/>
    <mergeCell ref="AQ341:AT341"/>
    <mergeCell ref="AU341:AX341"/>
    <mergeCell ref="A343:AX343"/>
    <mergeCell ref="A341:F341"/>
    <mergeCell ref="G341:K341"/>
    <mergeCell ref="L341:O341"/>
    <mergeCell ref="P341:T341"/>
    <mergeCell ref="U341:X341"/>
    <mergeCell ref="Y341:AC341"/>
  </mergeCells>
  <printOptions/>
  <pageMargins left="0.29" right="0.18" top="0.34" bottom="0.29" header="0.24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goncharova</dc:creator>
  <cp:keywords/>
  <dc:description/>
  <cp:lastModifiedBy>goncharova</cp:lastModifiedBy>
  <cp:lastPrinted>2009-01-30T07:43:26Z</cp:lastPrinted>
  <dcterms:created xsi:type="dcterms:W3CDTF">2009-01-28T05:14:16Z</dcterms:created>
  <dcterms:modified xsi:type="dcterms:W3CDTF">2009-02-02T11:27:45Z</dcterms:modified>
  <cp:category/>
  <cp:version/>
  <cp:contentType/>
  <cp:contentStatus/>
</cp:coreProperties>
</file>